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RegionalGeology\Gower\Regional Geology of Eastern Labrador\Data\Excel\GIS Layers\"/>
    </mc:Choice>
  </mc:AlternateContent>
  <bookViews>
    <workbookView xWindow="120" yWindow="90" windowWidth="23895" windowHeight="14535"/>
  </bookViews>
  <sheets>
    <sheet name="Photos_without_Names" sheetId="1" r:id="rId1"/>
  </sheets>
  <definedNames>
    <definedName name="Photos_without_Names">Photos_without_Names!$A$1:$N$6265</definedName>
  </definedNames>
  <calcPr calcId="162913"/>
</workbook>
</file>

<file path=xl/calcChain.xml><?xml version="1.0" encoding="utf-8"?>
<calcChain xmlns="http://schemas.openxmlformats.org/spreadsheetml/2006/main">
  <c r="M11" i="1" l="1"/>
  <c r="M6265" i="1"/>
  <c r="M6264" i="1"/>
  <c r="M6263" i="1"/>
  <c r="M6262" i="1"/>
  <c r="M6261" i="1"/>
  <c r="M6260" i="1"/>
  <c r="M6259" i="1"/>
  <c r="M6258" i="1"/>
  <c r="M6257" i="1"/>
  <c r="M6256" i="1"/>
  <c r="M6255" i="1"/>
  <c r="M6254" i="1"/>
  <c r="M6253" i="1"/>
  <c r="M6252" i="1"/>
  <c r="M6251" i="1"/>
  <c r="M6250" i="1"/>
  <c r="M6249" i="1"/>
  <c r="M6248" i="1"/>
  <c r="M6247" i="1"/>
  <c r="M6246" i="1"/>
  <c r="M6245" i="1"/>
  <c r="M6244" i="1"/>
  <c r="M6243" i="1"/>
  <c r="M6242" i="1"/>
  <c r="M6241" i="1"/>
  <c r="M6240" i="1"/>
  <c r="M6239" i="1"/>
  <c r="M6238" i="1"/>
  <c r="M6237" i="1"/>
  <c r="M6236" i="1"/>
  <c r="M6235" i="1"/>
  <c r="M6234" i="1"/>
  <c r="M6233" i="1"/>
  <c r="M6232" i="1"/>
  <c r="M6231" i="1"/>
  <c r="M6230" i="1"/>
  <c r="M6229" i="1"/>
  <c r="M6228" i="1"/>
  <c r="M6227" i="1"/>
  <c r="M6226" i="1"/>
  <c r="M6225" i="1"/>
  <c r="M6224" i="1"/>
  <c r="M6223" i="1"/>
  <c r="M6222" i="1"/>
  <c r="M6221" i="1"/>
  <c r="M6220" i="1"/>
  <c r="M6219" i="1"/>
  <c r="M6218" i="1"/>
  <c r="M6217" i="1"/>
  <c r="M6216" i="1"/>
  <c r="M6215" i="1"/>
  <c r="M6214" i="1"/>
  <c r="M6213" i="1"/>
  <c r="M6212" i="1"/>
  <c r="M6211" i="1"/>
  <c r="M6210" i="1"/>
  <c r="M6209" i="1"/>
  <c r="M6208" i="1"/>
  <c r="M6207" i="1"/>
  <c r="M6206" i="1"/>
  <c r="M6205" i="1"/>
  <c r="M6204" i="1"/>
  <c r="M6203" i="1"/>
  <c r="M6202" i="1"/>
  <c r="M6201" i="1"/>
  <c r="M6200" i="1"/>
  <c r="M6199" i="1"/>
  <c r="M6198" i="1"/>
  <c r="M6197" i="1"/>
  <c r="M6196" i="1"/>
  <c r="M6195" i="1"/>
  <c r="M6194" i="1"/>
  <c r="M6193" i="1"/>
  <c r="M6192" i="1"/>
  <c r="M6191" i="1"/>
  <c r="M6190" i="1"/>
  <c r="M6189" i="1"/>
  <c r="M6188" i="1"/>
  <c r="M6187" i="1"/>
  <c r="M6186" i="1"/>
  <c r="M6185" i="1"/>
  <c r="M6184" i="1"/>
  <c r="M6183" i="1"/>
  <c r="M6182" i="1"/>
  <c r="M6181" i="1"/>
  <c r="M6180" i="1"/>
  <c r="M6179" i="1"/>
  <c r="M6178" i="1"/>
  <c r="M6177" i="1"/>
  <c r="M6176" i="1"/>
  <c r="M6175" i="1"/>
  <c r="M6174" i="1"/>
  <c r="M6173" i="1"/>
  <c r="M6172" i="1"/>
  <c r="M6171" i="1"/>
  <c r="M6170" i="1"/>
  <c r="M6169" i="1"/>
  <c r="M6168" i="1"/>
  <c r="M6167" i="1"/>
  <c r="M6166" i="1"/>
  <c r="M6165" i="1"/>
  <c r="M6164" i="1"/>
  <c r="M6163" i="1"/>
  <c r="M6162" i="1"/>
  <c r="M6161" i="1"/>
  <c r="M6160" i="1"/>
  <c r="M6159" i="1"/>
  <c r="M6158" i="1"/>
  <c r="M6157" i="1"/>
  <c r="M6156" i="1"/>
  <c r="M6155" i="1"/>
  <c r="M6154" i="1"/>
  <c r="M6153" i="1"/>
  <c r="M6152" i="1"/>
  <c r="M6151" i="1"/>
  <c r="M6150" i="1"/>
  <c r="M6149" i="1"/>
  <c r="M6148" i="1"/>
  <c r="M6147" i="1"/>
  <c r="M6146" i="1"/>
  <c r="M6145" i="1"/>
  <c r="M6144" i="1"/>
  <c r="M6143" i="1"/>
  <c r="M6142" i="1"/>
  <c r="M6141" i="1"/>
  <c r="M6140" i="1"/>
  <c r="M6139" i="1"/>
  <c r="M6138" i="1"/>
  <c r="M6137" i="1"/>
  <c r="M6136" i="1"/>
  <c r="M6135" i="1"/>
  <c r="M6134" i="1"/>
  <c r="M6133" i="1"/>
  <c r="M6132" i="1"/>
  <c r="M6131" i="1"/>
  <c r="M6130" i="1"/>
  <c r="M6129" i="1"/>
  <c r="M6128" i="1"/>
  <c r="M6127" i="1"/>
  <c r="M6126" i="1"/>
  <c r="M6125" i="1"/>
  <c r="M6124" i="1"/>
  <c r="M6123" i="1"/>
  <c r="M6122" i="1"/>
  <c r="M6121" i="1"/>
  <c r="M6120" i="1"/>
  <c r="M6119" i="1"/>
  <c r="M6118" i="1"/>
  <c r="M6117" i="1"/>
  <c r="M6116" i="1"/>
  <c r="M6115" i="1"/>
  <c r="M6114" i="1"/>
  <c r="M6113" i="1"/>
  <c r="M6112" i="1"/>
  <c r="M6111" i="1"/>
  <c r="M6110" i="1"/>
  <c r="M6109" i="1"/>
  <c r="M6108" i="1"/>
  <c r="M6107" i="1"/>
  <c r="M6106" i="1"/>
  <c r="M6105" i="1"/>
  <c r="M6104" i="1"/>
  <c r="M6103" i="1"/>
  <c r="M6102" i="1"/>
  <c r="M6101" i="1"/>
  <c r="M6100" i="1"/>
  <c r="M6099" i="1"/>
  <c r="M6098" i="1"/>
  <c r="M6097" i="1"/>
  <c r="M6096" i="1"/>
  <c r="M6095" i="1"/>
  <c r="M6094" i="1"/>
  <c r="M6093" i="1"/>
  <c r="M6092" i="1"/>
  <c r="M6091" i="1"/>
  <c r="M6090" i="1"/>
  <c r="M6089" i="1"/>
  <c r="M6088" i="1"/>
  <c r="M6087" i="1"/>
  <c r="M6086" i="1"/>
  <c r="M6085" i="1"/>
  <c r="M6084" i="1"/>
  <c r="M6083" i="1"/>
  <c r="M6082" i="1"/>
  <c r="M6081" i="1"/>
  <c r="M6080" i="1"/>
  <c r="M6079" i="1"/>
  <c r="M6078" i="1"/>
  <c r="M6077" i="1"/>
  <c r="M6076" i="1"/>
  <c r="M6075" i="1"/>
  <c r="M6074" i="1"/>
  <c r="M6073" i="1"/>
  <c r="M6072" i="1"/>
  <c r="M6071" i="1"/>
  <c r="M6070" i="1"/>
  <c r="M6069" i="1"/>
  <c r="M6068" i="1"/>
  <c r="M6067" i="1"/>
  <c r="M6066" i="1"/>
  <c r="M6065" i="1"/>
  <c r="M6064" i="1"/>
  <c r="M6063" i="1"/>
  <c r="M6062" i="1"/>
  <c r="M6061" i="1"/>
  <c r="M6060" i="1"/>
  <c r="M6059" i="1"/>
  <c r="M6058" i="1"/>
  <c r="M6057" i="1"/>
  <c r="M6056" i="1"/>
  <c r="M6055" i="1"/>
  <c r="M6054" i="1"/>
  <c r="M6053" i="1"/>
  <c r="M6052" i="1"/>
  <c r="M6051" i="1"/>
  <c r="M6050" i="1"/>
  <c r="M6049" i="1"/>
  <c r="M6048" i="1"/>
  <c r="M6047" i="1"/>
  <c r="M6046" i="1"/>
  <c r="M6045" i="1"/>
  <c r="M6044" i="1"/>
  <c r="M6043" i="1"/>
  <c r="M6042" i="1"/>
  <c r="M6041" i="1"/>
  <c r="M6040" i="1"/>
  <c r="M6039" i="1"/>
  <c r="M6038" i="1"/>
  <c r="M6037" i="1"/>
  <c r="M6036" i="1"/>
  <c r="M6035" i="1"/>
  <c r="M6034" i="1"/>
  <c r="M6033" i="1"/>
  <c r="M6032" i="1"/>
  <c r="M6031" i="1"/>
  <c r="M6030" i="1"/>
  <c r="M6029" i="1"/>
  <c r="M6028" i="1"/>
  <c r="M6027" i="1"/>
  <c r="M6026" i="1"/>
  <c r="M6025" i="1"/>
  <c r="M6024" i="1"/>
  <c r="M6023" i="1"/>
  <c r="M6022" i="1"/>
  <c r="M6021" i="1"/>
  <c r="M6020" i="1"/>
  <c r="M6019" i="1"/>
  <c r="M6018" i="1"/>
  <c r="M6017" i="1"/>
  <c r="M6016" i="1"/>
  <c r="M6015" i="1"/>
  <c r="M6014" i="1"/>
  <c r="M6013" i="1"/>
  <c r="M6012" i="1"/>
  <c r="M6011" i="1"/>
  <c r="M6010" i="1"/>
  <c r="M6009" i="1"/>
  <c r="M6008" i="1"/>
  <c r="M6007" i="1"/>
  <c r="M6006" i="1"/>
  <c r="M6005" i="1"/>
  <c r="M6004" i="1"/>
  <c r="M6003" i="1"/>
  <c r="M6002" i="1"/>
  <c r="M6001" i="1"/>
  <c r="M6000" i="1"/>
  <c r="M5999" i="1"/>
  <c r="M5998" i="1"/>
  <c r="M5997" i="1"/>
  <c r="M5996" i="1"/>
  <c r="M5995" i="1"/>
  <c r="M5994" i="1"/>
  <c r="M5993" i="1"/>
  <c r="M5992" i="1"/>
  <c r="M5991" i="1"/>
  <c r="M5990" i="1"/>
  <c r="M5989" i="1"/>
  <c r="M5988" i="1"/>
  <c r="M5987" i="1"/>
  <c r="M5986" i="1"/>
  <c r="M5985" i="1"/>
  <c r="M5984" i="1"/>
  <c r="M5983" i="1"/>
  <c r="M5982" i="1"/>
  <c r="M5981" i="1"/>
  <c r="M5980" i="1"/>
  <c r="M5979" i="1"/>
  <c r="M5978" i="1"/>
  <c r="M5976" i="1"/>
  <c r="M5975" i="1"/>
  <c r="M5974" i="1"/>
  <c r="M5973" i="1"/>
  <c r="M5972" i="1"/>
  <c r="M5971" i="1"/>
  <c r="M5970" i="1"/>
  <c r="M5969" i="1"/>
  <c r="M5968" i="1"/>
  <c r="M5967" i="1"/>
  <c r="M5966" i="1"/>
  <c r="M5965" i="1"/>
  <c r="M5964" i="1"/>
  <c r="M5963" i="1"/>
  <c r="M5962" i="1"/>
  <c r="M5961" i="1"/>
  <c r="M5960" i="1"/>
  <c r="M5959" i="1"/>
  <c r="M5958" i="1"/>
  <c r="M5957" i="1"/>
  <c r="M5956" i="1"/>
  <c r="M5955" i="1"/>
  <c r="M5954" i="1"/>
  <c r="M5953" i="1"/>
  <c r="M5952" i="1"/>
  <c r="M5951" i="1"/>
  <c r="M5950" i="1"/>
  <c r="M5949" i="1"/>
  <c r="M5948" i="1"/>
  <c r="M5947" i="1"/>
  <c r="M5946" i="1"/>
  <c r="M5945" i="1"/>
  <c r="M5944" i="1"/>
  <c r="M5943" i="1"/>
  <c r="M5942" i="1"/>
  <c r="M5941" i="1"/>
  <c r="M5940" i="1"/>
  <c r="M5939" i="1"/>
  <c r="M5938" i="1"/>
  <c r="M5937" i="1"/>
  <c r="M5936" i="1"/>
  <c r="M5935" i="1"/>
  <c r="M5934" i="1"/>
  <c r="M5933" i="1"/>
  <c r="M5932" i="1"/>
  <c r="M5931" i="1"/>
  <c r="M5930" i="1"/>
  <c r="M5929" i="1"/>
  <c r="M5928" i="1"/>
  <c r="M5927" i="1"/>
  <c r="M5926" i="1"/>
  <c r="M5925" i="1"/>
  <c r="M5924" i="1"/>
  <c r="M5923" i="1"/>
  <c r="M5922" i="1"/>
  <c r="M5921" i="1"/>
  <c r="M5920" i="1"/>
  <c r="M5919" i="1"/>
  <c r="M5918" i="1"/>
  <c r="M5917" i="1"/>
  <c r="M5916" i="1"/>
  <c r="M5915" i="1"/>
  <c r="M5914" i="1"/>
  <c r="M5913" i="1"/>
  <c r="M5912" i="1"/>
  <c r="M5911" i="1"/>
  <c r="M5910" i="1"/>
  <c r="M5909" i="1"/>
  <c r="M5908" i="1"/>
  <c r="M5907" i="1"/>
  <c r="M5906" i="1"/>
  <c r="M5905" i="1"/>
  <c r="M5904" i="1"/>
  <c r="M5903" i="1"/>
  <c r="M5902" i="1"/>
  <c r="M5901" i="1"/>
  <c r="M5900" i="1"/>
  <c r="M5899" i="1"/>
  <c r="M5898" i="1"/>
  <c r="M5897" i="1"/>
  <c r="M5896" i="1"/>
  <c r="M5895" i="1"/>
  <c r="M5894" i="1"/>
  <c r="M5893" i="1"/>
  <c r="M5892" i="1"/>
  <c r="M5891" i="1"/>
  <c r="M5890" i="1"/>
  <c r="M5889" i="1"/>
  <c r="M5888" i="1"/>
  <c r="M5887" i="1"/>
  <c r="M5886" i="1"/>
  <c r="M5885" i="1"/>
  <c r="M5884" i="1"/>
  <c r="M5883" i="1"/>
  <c r="M5882" i="1"/>
  <c r="M5881" i="1"/>
  <c r="M5880" i="1"/>
  <c r="M5879" i="1"/>
  <c r="M5878" i="1"/>
  <c r="M5877" i="1"/>
  <c r="M5876" i="1"/>
  <c r="M5875" i="1"/>
  <c r="M5874" i="1"/>
  <c r="M5873" i="1"/>
  <c r="M5872" i="1"/>
  <c r="M5871" i="1"/>
  <c r="M5870" i="1"/>
  <c r="M5869" i="1"/>
  <c r="M5868" i="1"/>
  <c r="M5867" i="1"/>
  <c r="M5866" i="1"/>
  <c r="M5865" i="1"/>
  <c r="M5864" i="1"/>
  <c r="M5863" i="1"/>
  <c r="M5862" i="1"/>
  <c r="M5861" i="1"/>
  <c r="M5860" i="1"/>
  <c r="M5859" i="1"/>
  <c r="M5858" i="1"/>
  <c r="M5857" i="1"/>
  <c r="M5856" i="1"/>
  <c r="M5855" i="1"/>
  <c r="M5854" i="1"/>
  <c r="M5853" i="1"/>
  <c r="M5852" i="1"/>
  <c r="M5851" i="1"/>
  <c r="M5850" i="1"/>
  <c r="M5849" i="1"/>
  <c r="M5848" i="1"/>
  <c r="M5847" i="1"/>
  <c r="M5846" i="1"/>
  <c r="M5845" i="1"/>
  <c r="M5844" i="1"/>
  <c r="M5843" i="1"/>
  <c r="M5842" i="1"/>
  <c r="M5841" i="1"/>
  <c r="M5840" i="1"/>
  <c r="M5839" i="1"/>
  <c r="M5838" i="1"/>
  <c r="M5837" i="1"/>
  <c r="M5836" i="1"/>
  <c r="M5835" i="1"/>
  <c r="M5834" i="1"/>
  <c r="M5833" i="1"/>
  <c r="M5832" i="1"/>
  <c r="M5831" i="1"/>
  <c r="M5830" i="1"/>
  <c r="M5829" i="1"/>
  <c r="M5828" i="1"/>
  <c r="M5827" i="1"/>
  <c r="M5826" i="1"/>
  <c r="M5825" i="1"/>
  <c r="M5824" i="1"/>
  <c r="M5823" i="1"/>
  <c r="M5822" i="1"/>
  <c r="M5821" i="1"/>
  <c r="M5820" i="1"/>
  <c r="M5819" i="1"/>
  <c r="M5818" i="1"/>
  <c r="M5817" i="1"/>
  <c r="M5816" i="1"/>
  <c r="M5815" i="1"/>
  <c r="M5814" i="1"/>
  <c r="M5813" i="1"/>
  <c r="M5812" i="1"/>
  <c r="M5811" i="1"/>
  <c r="M5810" i="1"/>
  <c r="M5809" i="1"/>
  <c r="M5808" i="1"/>
  <c r="M5807" i="1"/>
  <c r="M5806" i="1"/>
  <c r="M5805" i="1"/>
  <c r="M5804" i="1"/>
  <c r="M5803" i="1"/>
  <c r="M5802" i="1"/>
  <c r="M5801" i="1"/>
  <c r="M5800" i="1"/>
  <c r="M5799" i="1"/>
  <c r="M5798" i="1"/>
  <c r="M5797" i="1"/>
  <c r="M5796" i="1"/>
  <c r="M5795" i="1"/>
  <c r="M5794" i="1"/>
  <c r="M5793" i="1"/>
  <c r="M5792" i="1"/>
  <c r="M5791" i="1"/>
  <c r="M5790" i="1"/>
  <c r="M5789" i="1"/>
  <c r="M5788" i="1"/>
  <c r="M5787" i="1"/>
  <c r="M5786" i="1"/>
  <c r="M5785" i="1"/>
  <c r="M5784" i="1"/>
  <c r="M5783" i="1"/>
  <c r="M5782" i="1"/>
  <c r="M5781" i="1"/>
  <c r="M5780" i="1"/>
  <c r="M5779" i="1"/>
  <c r="M5778" i="1"/>
  <c r="M5777" i="1"/>
  <c r="M5776" i="1"/>
  <c r="M5775" i="1"/>
  <c r="M5774" i="1"/>
  <c r="M5773" i="1"/>
  <c r="M5772" i="1"/>
  <c r="M5771" i="1"/>
  <c r="M5770" i="1"/>
  <c r="M5769" i="1"/>
  <c r="M5768" i="1"/>
  <c r="M5767" i="1"/>
  <c r="M5766" i="1"/>
  <c r="M5765" i="1"/>
  <c r="M5764" i="1"/>
  <c r="M5763" i="1"/>
  <c r="M5762" i="1"/>
  <c r="M5761" i="1"/>
  <c r="M5760" i="1"/>
  <c r="M5759" i="1"/>
  <c r="M5758" i="1"/>
  <c r="M5757" i="1"/>
  <c r="M5756" i="1"/>
  <c r="M5755" i="1"/>
  <c r="M5754" i="1"/>
  <c r="M5753" i="1"/>
  <c r="M5752" i="1"/>
  <c r="M5751" i="1"/>
  <c r="M5750" i="1"/>
  <c r="M5749" i="1"/>
  <c r="M5748" i="1"/>
  <c r="M5747" i="1"/>
  <c r="M5746" i="1"/>
  <c r="M5745" i="1"/>
  <c r="M5744" i="1"/>
  <c r="M5743" i="1"/>
  <c r="M5742" i="1"/>
  <c r="M5741" i="1"/>
  <c r="M5740" i="1"/>
  <c r="M5739" i="1"/>
  <c r="M5738" i="1"/>
  <c r="M5737" i="1"/>
  <c r="M5736" i="1"/>
  <c r="M5735" i="1"/>
  <c r="M5734" i="1"/>
  <c r="M5733" i="1"/>
  <c r="M5732" i="1"/>
  <c r="M5731" i="1"/>
  <c r="M5730" i="1"/>
  <c r="M5729" i="1"/>
  <c r="M5728" i="1"/>
  <c r="M5727" i="1"/>
  <c r="M5726" i="1"/>
  <c r="M5725" i="1"/>
  <c r="M5724" i="1"/>
  <c r="M5723" i="1"/>
  <c r="M5722" i="1"/>
  <c r="M5721" i="1"/>
  <c r="M5720" i="1"/>
  <c r="M5719" i="1"/>
  <c r="M5718" i="1"/>
  <c r="M5717" i="1"/>
  <c r="M5716" i="1"/>
  <c r="M5715" i="1"/>
  <c r="M5714" i="1"/>
  <c r="M5713" i="1"/>
  <c r="M5712" i="1"/>
  <c r="M5710" i="1"/>
  <c r="M5709" i="1"/>
  <c r="M5708" i="1"/>
  <c r="M5707" i="1"/>
  <c r="M5706" i="1"/>
  <c r="M5705" i="1"/>
  <c r="M5704" i="1"/>
  <c r="M5703" i="1"/>
  <c r="M5702" i="1"/>
  <c r="M5701" i="1"/>
  <c r="M5700" i="1"/>
  <c r="M5699" i="1"/>
  <c r="M5698" i="1"/>
  <c r="M5697" i="1"/>
  <c r="M5696" i="1"/>
  <c r="M5695" i="1"/>
  <c r="M5694" i="1"/>
  <c r="M5693" i="1"/>
  <c r="M5692" i="1"/>
  <c r="M5691" i="1"/>
  <c r="M5690" i="1"/>
  <c r="M5689" i="1"/>
  <c r="M5688" i="1"/>
  <c r="M5687" i="1"/>
  <c r="M5686" i="1"/>
  <c r="M5685" i="1"/>
  <c r="M5684" i="1"/>
  <c r="M5683" i="1"/>
  <c r="M5682" i="1"/>
  <c r="M5681" i="1"/>
  <c r="M5680" i="1"/>
  <c r="M5679" i="1"/>
  <c r="M5678" i="1"/>
  <c r="M5677" i="1"/>
  <c r="M5676" i="1"/>
  <c r="M5675" i="1"/>
  <c r="M5674" i="1"/>
  <c r="M5673" i="1"/>
  <c r="M5672" i="1"/>
  <c r="M5671" i="1"/>
  <c r="M5670" i="1"/>
  <c r="M5669" i="1"/>
  <c r="M5668" i="1"/>
  <c r="M5667" i="1"/>
  <c r="M5666" i="1"/>
  <c r="M5665" i="1"/>
  <c r="M5664" i="1"/>
  <c r="M5663" i="1"/>
  <c r="M5662" i="1"/>
  <c r="M5661" i="1"/>
  <c r="M5660" i="1"/>
  <c r="M5659" i="1"/>
  <c r="M5658" i="1"/>
  <c r="M5657" i="1"/>
  <c r="M5656" i="1"/>
  <c r="M5655" i="1"/>
  <c r="M5654" i="1"/>
  <c r="M5653" i="1"/>
  <c r="M5652" i="1"/>
  <c r="M5651" i="1"/>
  <c r="M5650" i="1"/>
  <c r="M5649" i="1"/>
  <c r="M5648" i="1"/>
  <c r="M5647" i="1"/>
  <c r="M5646" i="1"/>
  <c r="M5645" i="1"/>
  <c r="M5644" i="1"/>
  <c r="M5643" i="1"/>
  <c r="M5642" i="1"/>
  <c r="M5641" i="1"/>
  <c r="M5640" i="1"/>
  <c r="M5639" i="1"/>
  <c r="M5638" i="1"/>
  <c r="M5637" i="1"/>
  <c r="M5636" i="1"/>
  <c r="M5635" i="1"/>
  <c r="M5634" i="1"/>
  <c r="M5633" i="1"/>
  <c r="M5632" i="1"/>
  <c r="M5631" i="1"/>
  <c r="M5630" i="1"/>
  <c r="M5629" i="1"/>
  <c r="M5628" i="1"/>
  <c r="M5627" i="1"/>
  <c r="M5626" i="1"/>
  <c r="M5625" i="1"/>
  <c r="M5624" i="1"/>
  <c r="M5623" i="1"/>
  <c r="M5622" i="1"/>
  <c r="M5621" i="1"/>
  <c r="M5620" i="1"/>
  <c r="M5619" i="1"/>
  <c r="M5618" i="1"/>
  <c r="M5617" i="1"/>
  <c r="M5616" i="1"/>
  <c r="M5615" i="1"/>
  <c r="M5614" i="1"/>
  <c r="M5613" i="1"/>
  <c r="M5612" i="1"/>
  <c r="M5611" i="1"/>
  <c r="M5610" i="1"/>
  <c r="M5609" i="1"/>
  <c r="M5608" i="1"/>
  <c r="M5607" i="1"/>
  <c r="M5606" i="1"/>
  <c r="M5605" i="1"/>
  <c r="M5604" i="1"/>
  <c r="M5603" i="1"/>
  <c r="M5602" i="1"/>
  <c r="M5601" i="1"/>
  <c r="M5600" i="1"/>
  <c r="M5599" i="1"/>
  <c r="M5598" i="1"/>
  <c r="M5597" i="1"/>
  <c r="M5596" i="1"/>
  <c r="M5595" i="1"/>
  <c r="M5594" i="1"/>
  <c r="M5593" i="1"/>
  <c r="M5592" i="1"/>
  <c r="M5591" i="1"/>
  <c r="M5590" i="1"/>
  <c r="M5589" i="1"/>
  <c r="M5588" i="1"/>
  <c r="M5587" i="1"/>
  <c r="M5586" i="1"/>
  <c r="M5585" i="1"/>
  <c r="M5584" i="1"/>
  <c r="M5583" i="1"/>
  <c r="M5582" i="1"/>
  <c r="M5581" i="1"/>
  <c r="M5580" i="1"/>
  <c r="M5579" i="1"/>
  <c r="M5578" i="1"/>
  <c r="M5577" i="1"/>
  <c r="M5576" i="1"/>
  <c r="M5575" i="1"/>
  <c r="M5574" i="1"/>
  <c r="M5573" i="1"/>
  <c r="M5572" i="1"/>
  <c r="M5571" i="1"/>
  <c r="M5570" i="1"/>
  <c r="M5569" i="1"/>
  <c r="M5568" i="1"/>
  <c r="M5567" i="1"/>
  <c r="M5566" i="1"/>
  <c r="M5564" i="1"/>
  <c r="M5563" i="1"/>
  <c r="M5562" i="1"/>
  <c r="M5561" i="1"/>
  <c r="M5560" i="1"/>
  <c r="M5559" i="1"/>
  <c r="M5558" i="1"/>
  <c r="M5557" i="1"/>
  <c r="M5556" i="1"/>
  <c r="M5555" i="1"/>
  <c r="M5554" i="1"/>
  <c r="M5553" i="1"/>
  <c r="M5552" i="1"/>
  <c r="M5551" i="1"/>
  <c r="M5550" i="1"/>
  <c r="M5549" i="1"/>
  <c r="M5548" i="1"/>
  <c r="M5547" i="1"/>
  <c r="M5546" i="1"/>
  <c r="M5545" i="1"/>
  <c r="M5544" i="1"/>
  <c r="M5543" i="1"/>
  <c r="M5542" i="1"/>
  <c r="M5541" i="1"/>
  <c r="M5540" i="1"/>
  <c r="M5539" i="1"/>
  <c r="M5538" i="1"/>
  <c r="M5537" i="1"/>
  <c r="M5536" i="1"/>
  <c r="M5535" i="1"/>
  <c r="M5534" i="1"/>
  <c r="M5533" i="1"/>
  <c r="M5532" i="1"/>
  <c r="M5531" i="1"/>
  <c r="M5530" i="1"/>
  <c r="M5529" i="1"/>
  <c r="M5528" i="1"/>
  <c r="M5527" i="1"/>
  <c r="M5526" i="1"/>
  <c r="M5525" i="1"/>
  <c r="M5524" i="1"/>
  <c r="M5523" i="1"/>
  <c r="M5522" i="1"/>
  <c r="M5521" i="1"/>
  <c r="M5520" i="1"/>
  <c r="M5519" i="1"/>
  <c r="M5518" i="1"/>
  <c r="M5517" i="1"/>
  <c r="M5516" i="1"/>
  <c r="M5515" i="1"/>
  <c r="M5514" i="1"/>
  <c r="M5513" i="1"/>
  <c r="M5512" i="1"/>
  <c r="M5511" i="1"/>
  <c r="M5510" i="1"/>
  <c r="M5509" i="1"/>
  <c r="M5508" i="1"/>
  <c r="M5507" i="1"/>
  <c r="M5506" i="1"/>
  <c r="M5505" i="1"/>
  <c r="M5504" i="1"/>
  <c r="M5503" i="1"/>
  <c r="M5502" i="1"/>
  <c r="M5501" i="1"/>
  <c r="M5500" i="1"/>
  <c r="M5499" i="1"/>
  <c r="M5498" i="1"/>
  <c r="M5497" i="1"/>
  <c r="M5496" i="1"/>
  <c r="M5495" i="1"/>
  <c r="M5494" i="1"/>
  <c r="M5493" i="1"/>
  <c r="M5492" i="1"/>
  <c r="M5491" i="1"/>
  <c r="M5490" i="1"/>
  <c r="M5489" i="1"/>
  <c r="M5488" i="1"/>
  <c r="M5487" i="1"/>
  <c r="M5486" i="1"/>
  <c r="M5485" i="1"/>
  <c r="M5484" i="1"/>
  <c r="M5483" i="1"/>
  <c r="M5482" i="1"/>
  <c r="M5481" i="1"/>
  <c r="M5480" i="1"/>
  <c r="M5479" i="1"/>
  <c r="M5478" i="1"/>
  <c r="M5477" i="1"/>
  <c r="M5476" i="1"/>
  <c r="M5475" i="1"/>
  <c r="M5474" i="1"/>
  <c r="M5473" i="1"/>
  <c r="M5472" i="1"/>
  <c r="M5471" i="1"/>
  <c r="M5470" i="1"/>
  <c r="M5469" i="1"/>
  <c r="M5468" i="1"/>
  <c r="M5467" i="1"/>
  <c r="M5466" i="1"/>
  <c r="M5465" i="1"/>
  <c r="M5464" i="1"/>
  <c r="M5463" i="1"/>
  <c r="M5462" i="1"/>
  <c r="M5461" i="1"/>
  <c r="M5460" i="1"/>
  <c r="M5459" i="1"/>
  <c r="M5458" i="1"/>
  <c r="M5457" i="1"/>
  <c r="M5456" i="1"/>
  <c r="M5455" i="1"/>
  <c r="M5454" i="1"/>
  <c r="M5453" i="1"/>
  <c r="M5452" i="1"/>
  <c r="M5451" i="1"/>
  <c r="M5450" i="1"/>
  <c r="M5449" i="1"/>
  <c r="M5448" i="1"/>
  <c r="M5447" i="1"/>
  <c r="M5446" i="1"/>
  <c r="M5445" i="1"/>
  <c r="M5444" i="1"/>
  <c r="M5443" i="1"/>
  <c r="M5442" i="1"/>
  <c r="M5441" i="1"/>
  <c r="M5440" i="1"/>
  <c r="M5439" i="1"/>
  <c r="M5438" i="1"/>
  <c r="M5437" i="1"/>
  <c r="M5436" i="1"/>
  <c r="M5435" i="1"/>
  <c r="M5434" i="1"/>
  <c r="M5433" i="1"/>
  <c r="M5432" i="1"/>
  <c r="M5431" i="1"/>
  <c r="M5430" i="1"/>
  <c r="M5429" i="1"/>
  <c r="M5428" i="1"/>
  <c r="M5427" i="1"/>
  <c r="M5426" i="1"/>
  <c r="M5425" i="1"/>
  <c r="M5424" i="1"/>
  <c r="M5423" i="1"/>
  <c r="M5422" i="1"/>
  <c r="M5421" i="1"/>
  <c r="M5420" i="1"/>
  <c r="M5419" i="1"/>
  <c r="M5418" i="1"/>
  <c r="M5417" i="1"/>
  <c r="M5416" i="1"/>
  <c r="M5415" i="1"/>
  <c r="M5414" i="1"/>
  <c r="M5413" i="1"/>
  <c r="M5412" i="1"/>
  <c r="M5411" i="1"/>
  <c r="M5410" i="1"/>
  <c r="M5409" i="1"/>
  <c r="M5408" i="1"/>
  <c r="M5407" i="1"/>
  <c r="M5406" i="1"/>
  <c r="M5405" i="1"/>
  <c r="M5404" i="1"/>
  <c r="M5403" i="1"/>
  <c r="M5402" i="1"/>
  <c r="M5401" i="1"/>
  <c r="M5400" i="1"/>
  <c r="M5399" i="1"/>
  <c r="M5398" i="1"/>
  <c r="M5397" i="1"/>
  <c r="M5396" i="1"/>
  <c r="M5395" i="1"/>
  <c r="M5394" i="1"/>
  <c r="M5393" i="1"/>
  <c r="M5392" i="1"/>
  <c r="M5391" i="1"/>
  <c r="M5390" i="1"/>
  <c r="M5389" i="1"/>
  <c r="M5388" i="1"/>
  <c r="M5387" i="1"/>
  <c r="M5386" i="1"/>
  <c r="M5385" i="1"/>
  <c r="M5384" i="1"/>
  <c r="M5383" i="1"/>
  <c r="M5382" i="1"/>
  <c r="M5381" i="1"/>
  <c r="M5380" i="1"/>
  <c r="M5379" i="1"/>
  <c r="M5378" i="1"/>
  <c r="M5377" i="1"/>
  <c r="M5376" i="1"/>
  <c r="M5375" i="1"/>
  <c r="M5374" i="1"/>
  <c r="M5373" i="1"/>
  <c r="M5372" i="1"/>
  <c r="M5371" i="1"/>
  <c r="M5370" i="1"/>
  <c r="M5369" i="1"/>
  <c r="M5368" i="1"/>
  <c r="M5367" i="1"/>
  <c r="M5366" i="1"/>
  <c r="M5365" i="1"/>
  <c r="M5364" i="1"/>
  <c r="M5363" i="1"/>
  <c r="M5362" i="1"/>
  <c r="M5361" i="1"/>
  <c r="M5360" i="1"/>
  <c r="M5359" i="1"/>
  <c r="M5358" i="1"/>
  <c r="M5357" i="1"/>
  <c r="M5356" i="1"/>
  <c r="M5355" i="1"/>
  <c r="M5354" i="1"/>
  <c r="M5353" i="1"/>
  <c r="M5352" i="1"/>
  <c r="M5351" i="1"/>
  <c r="M5350" i="1"/>
  <c r="M5349" i="1"/>
  <c r="M5348" i="1"/>
  <c r="M5347" i="1"/>
  <c r="M5346" i="1"/>
  <c r="M5345" i="1"/>
  <c r="M5344" i="1"/>
  <c r="M5343" i="1"/>
  <c r="M5342" i="1"/>
  <c r="M5341" i="1"/>
  <c r="M5340" i="1"/>
  <c r="M5339" i="1"/>
  <c r="M5338" i="1"/>
  <c r="M5337" i="1"/>
  <c r="M5336" i="1"/>
  <c r="M5335" i="1"/>
  <c r="M5334" i="1"/>
  <c r="M5333" i="1"/>
  <c r="M5332" i="1"/>
  <c r="M5331" i="1"/>
  <c r="M5330" i="1"/>
  <c r="M5329" i="1"/>
  <c r="M5328" i="1"/>
  <c r="M5327" i="1"/>
  <c r="M5326" i="1"/>
  <c r="M5325" i="1"/>
  <c r="M5324" i="1"/>
  <c r="M5323" i="1"/>
  <c r="M5322" i="1"/>
  <c r="M5321" i="1"/>
  <c r="M5320" i="1"/>
  <c r="M5319" i="1"/>
  <c r="M5318" i="1"/>
  <c r="M5317" i="1"/>
  <c r="M5316" i="1"/>
  <c r="M5315" i="1"/>
  <c r="M5314" i="1"/>
  <c r="M5313" i="1"/>
  <c r="M5312" i="1"/>
  <c r="M5311" i="1"/>
  <c r="M5310" i="1"/>
  <c r="M5309" i="1"/>
  <c r="M5308" i="1"/>
  <c r="M5307" i="1"/>
  <c r="M5306" i="1"/>
  <c r="M5305" i="1"/>
  <c r="M5304" i="1"/>
  <c r="M5303" i="1"/>
  <c r="M5302" i="1"/>
  <c r="M5301" i="1"/>
  <c r="M5300" i="1"/>
  <c r="M5299" i="1"/>
  <c r="M5298" i="1"/>
  <c r="M5297" i="1"/>
  <c r="M5296" i="1"/>
  <c r="M5295" i="1"/>
  <c r="M5294" i="1"/>
  <c r="M5293" i="1"/>
  <c r="M5292" i="1"/>
  <c r="M5291" i="1"/>
  <c r="M5290" i="1"/>
  <c r="M5289" i="1"/>
  <c r="M5288" i="1"/>
  <c r="M5287" i="1"/>
  <c r="M5286" i="1"/>
  <c r="M5285" i="1"/>
  <c r="M5284" i="1"/>
  <c r="M5283" i="1"/>
  <c r="M5282" i="1"/>
  <c r="M5281" i="1"/>
  <c r="M5280" i="1"/>
  <c r="M5279" i="1"/>
  <c r="M5278" i="1"/>
  <c r="M5277" i="1"/>
  <c r="M5276" i="1"/>
  <c r="M5275" i="1"/>
  <c r="M5274" i="1"/>
  <c r="M5273" i="1"/>
  <c r="M5272" i="1"/>
  <c r="M5271" i="1"/>
  <c r="M5270" i="1"/>
  <c r="M5269" i="1"/>
  <c r="M5268" i="1"/>
  <c r="M5267" i="1"/>
  <c r="M5266" i="1"/>
  <c r="M5265" i="1"/>
  <c r="M5264" i="1"/>
  <c r="M5263" i="1"/>
  <c r="M5262" i="1"/>
  <c r="M5261" i="1"/>
  <c r="M5260" i="1"/>
  <c r="M5259" i="1"/>
  <c r="M5258" i="1"/>
  <c r="M5257" i="1"/>
  <c r="M5256" i="1"/>
  <c r="M5255" i="1"/>
  <c r="M5254" i="1"/>
  <c r="M5253" i="1"/>
  <c r="M5252" i="1"/>
  <c r="M5251" i="1"/>
  <c r="M5250" i="1"/>
  <c r="M5249" i="1"/>
  <c r="M5248" i="1"/>
  <c r="M5247" i="1"/>
  <c r="M5246" i="1"/>
  <c r="M5245" i="1"/>
  <c r="M5244" i="1"/>
  <c r="M5243" i="1"/>
  <c r="M5242" i="1"/>
  <c r="M5241" i="1"/>
  <c r="M5240" i="1"/>
  <c r="M5239" i="1"/>
  <c r="M5238" i="1"/>
  <c r="M5237" i="1"/>
  <c r="M5236" i="1"/>
  <c r="M5235" i="1"/>
  <c r="M5234" i="1"/>
  <c r="M5233" i="1"/>
  <c r="M5232" i="1"/>
  <c r="M5231" i="1"/>
  <c r="M5230" i="1"/>
  <c r="M5229" i="1"/>
  <c r="M5228" i="1"/>
  <c r="M5227" i="1"/>
  <c r="M5226" i="1"/>
  <c r="M5225" i="1"/>
  <c r="M5224" i="1"/>
  <c r="M5223" i="1"/>
  <c r="M5222" i="1"/>
  <c r="M5221" i="1"/>
  <c r="M5220" i="1"/>
  <c r="M5219" i="1"/>
  <c r="M5218" i="1"/>
  <c r="M5217" i="1"/>
  <c r="M5216" i="1"/>
  <c r="M5215" i="1"/>
  <c r="M5214" i="1"/>
  <c r="M5213" i="1"/>
  <c r="M5212" i="1"/>
  <c r="M5211" i="1"/>
  <c r="M5210" i="1"/>
  <c r="M5209" i="1"/>
  <c r="M5208" i="1"/>
  <c r="M5207" i="1"/>
  <c r="M5206" i="1"/>
  <c r="M5205" i="1"/>
  <c r="M5204" i="1"/>
  <c r="M5203" i="1"/>
  <c r="M5202" i="1"/>
  <c r="M5201" i="1"/>
  <c r="M5200" i="1"/>
  <c r="M5199" i="1"/>
  <c r="M5198" i="1"/>
  <c r="M5197" i="1"/>
  <c r="M5196" i="1"/>
  <c r="M5195" i="1"/>
  <c r="M5194" i="1"/>
  <c r="M5193" i="1"/>
  <c r="M5192" i="1"/>
  <c r="M5191" i="1"/>
  <c r="M5190" i="1"/>
  <c r="M5189" i="1"/>
  <c r="M5188" i="1"/>
  <c r="M5187" i="1"/>
  <c r="M5186" i="1"/>
  <c r="M5185" i="1"/>
  <c r="M5184" i="1"/>
  <c r="M5183" i="1"/>
  <c r="M5182" i="1"/>
  <c r="M5181" i="1"/>
  <c r="M5180" i="1"/>
  <c r="M5179" i="1"/>
  <c r="M5178" i="1"/>
  <c r="M5177" i="1"/>
  <c r="M5176" i="1"/>
  <c r="M5175" i="1"/>
  <c r="M5174" i="1"/>
  <c r="M5173" i="1"/>
  <c r="M5172" i="1"/>
  <c r="M5171" i="1"/>
  <c r="M5170" i="1"/>
  <c r="M5169" i="1"/>
  <c r="M5168" i="1"/>
  <c r="M5167" i="1"/>
  <c r="M5166" i="1"/>
  <c r="M5165" i="1"/>
  <c r="M5164" i="1"/>
  <c r="M5163" i="1"/>
  <c r="M5162" i="1"/>
  <c r="M5161" i="1"/>
  <c r="M5160" i="1"/>
  <c r="M5159" i="1"/>
  <c r="M5158" i="1"/>
  <c r="M5157" i="1"/>
  <c r="M5156" i="1"/>
  <c r="M5155" i="1"/>
  <c r="M5154" i="1"/>
  <c r="M5153" i="1"/>
  <c r="M5152" i="1"/>
  <c r="M5151" i="1"/>
  <c r="M5150" i="1"/>
  <c r="M5149" i="1"/>
  <c r="M5148" i="1"/>
  <c r="M5147" i="1"/>
  <c r="M5146" i="1"/>
  <c r="M5145" i="1"/>
  <c r="M5144" i="1"/>
  <c r="M5143" i="1"/>
  <c r="M5142" i="1"/>
  <c r="M5141" i="1"/>
  <c r="M5140" i="1"/>
  <c r="M5139" i="1"/>
  <c r="M5138" i="1"/>
  <c r="M5137" i="1"/>
  <c r="M5136" i="1"/>
  <c r="M5135" i="1"/>
  <c r="M5134" i="1"/>
  <c r="M5133" i="1"/>
  <c r="M5132" i="1"/>
  <c r="M5131" i="1"/>
  <c r="M5130" i="1"/>
  <c r="M5129" i="1"/>
  <c r="M5128" i="1"/>
  <c r="M5127" i="1"/>
  <c r="M5126" i="1"/>
  <c r="M5125" i="1"/>
  <c r="M5124" i="1"/>
  <c r="M5123" i="1"/>
  <c r="M5122" i="1"/>
  <c r="M5121" i="1"/>
  <c r="M5120" i="1"/>
  <c r="M5119" i="1"/>
  <c r="M5118" i="1"/>
  <c r="M5117" i="1"/>
  <c r="M5116" i="1"/>
  <c r="M5115" i="1"/>
  <c r="M5114" i="1"/>
  <c r="M5113" i="1"/>
  <c r="M5112" i="1"/>
  <c r="M5111" i="1"/>
  <c r="M5110" i="1"/>
  <c r="M5109" i="1"/>
  <c r="M5108" i="1"/>
  <c r="M5107" i="1"/>
  <c r="M5106" i="1"/>
  <c r="M5105" i="1"/>
  <c r="M5104" i="1"/>
  <c r="M5103" i="1"/>
  <c r="M5102" i="1"/>
  <c r="M5101" i="1"/>
  <c r="M5100" i="1"/>
  <c r="M5099" i="1"/>
  <c r="M5098" i="1"/>
  <c r="M5097" i="1"/>
  <c r="M5096" i="1"/>
  <c r="M5095" i="1"/>
  <c r="M5094" i="1"/>
  <c r="M5093" i="1"/>
  <c r="M5092" i="1"/>
  <c r="M5091" i="1"/>
  <c r="M5090" i="1"/>
  <c r="M5089" i="1"/>
  <c r="M5088" i="1"/>
  <c r="M5087" i="1"/>
  <c r="M5086" i="1"/>
  <c r="M5085" i="1"/>
  <c r="M5084" i="1"/>
  <c r="M5083" i="1"/>
  <c r="M5082" i="1"/>
  <c r="M5081" i="1"/>
  <c r="M5080" i="1"/>
  <c r="M5079" i="1"/>
  <c r="M5078" i="1"/>
  <c r="M5077" i="1"/>
  <c r="M5076" i="1"/>
  <c r="M5075" i="1"/>
  <c r="M5074" i="1"/>
  <c r="M5073" i="1"/>
  <c r="M5072" i="1"/>
  <c r="M5071" i="1"/>
  <c r="M5070" i="1"/>
  <c r="M5069" i="1"/>
  <c r="M5068" i="1"/>
  <c r="M5067" i="1"/>
  <c r="M5066" i="1"/>
  <c r="M5065" i="1"/>
  <c r="M5064" i="1"/>
  <c r="M5063" i="1"/>
  <c r="M5062" i="1"/>
  <c r="M5061" i="1"/>
  <c r="M5060" i="1"/>
  <c r="M5059" i="1"/>
  <c r="M5058" i="1"/>
  <c r="M5057" i="1"/>
  <c r="M5056" i="1"/>
  <c r="M5055" i="1"/>
  <c r="M5054" i="1"/>
  <c r="M5053" i="1"/>
  <c r="M5052" i="1"/>
  <c r="M5051" i="1"/>
  <c r="M5050" i="1"/>
  <c r="M5049" i="1"/>
  <c r="M5048" i="1"/>
  <c r="M5047" i="1"/>
  <c r="M5046" i="1"/>
  <c r="M5045" i="1"/>
  <c r="M5044" i="1"/>
  <c r="M5043" i="1"/>
  <c r="M5042" i="1"/>
  <c r="M5041" i="1"/>
  <c r="M5040" i="1"/>
  <c r="M5039" i="1"/>
  <c r="M5038" i="1"/>
  <c r="M5037" i="1"/>
  <c r="M5036" i="1"/>
  <c r="M5035" i="1"/>
  <c r="M5034" i="1"/>
  <c r="M5033" i="1"/>
  <c r="M5032" i="1"/>
  <c r="M5031" i="1"/>
  <c r="M5030" i="1"/>
  <c r="M5029" i="1"/>
  <c r="M5028" i="1"/>
  <c r="M5027" i="1"/>
  <c r="M5026" i="1"/>
  <c r="M5025" i="1"/>
  <c r="M5024" i="1"/>
  <c r="M5023" i="1"/>
  <c r="M5022" i="1"/>
  <c r="M5021" i="1"/>
  <c r="M5020" i="1"/>
  <c r="M5019" i="1"/>
  <c r="M5018" i="1"/>
  <c r="M5017" i="1"/>
  <c r="M5016" i="1"/>
  <c r="M5015" i="1"/>
  <c r="M5014" i="1"/>
  <c r="M5013" i="1"/>
  <c r="M5012" i="1"/>
  <c r="M5011" i="1"/>
  <c r="M5010" i="1"/>
  <c r="M5009" i="1"/>
  <c r="M5008" i="1"/>
  <c r="M5007" i="1"/>
  <c r="M5006" i="1"/>
  <c r="M5005" i="1"/>
  <c r="M5004" i="1"/>
  <c r="M5003" i="1"/>
  <c r="M5002" i="1"/>
  <c r="M5001" i="1"/>
  <c r="M5000" i="1"/>
  <c r="M4999" i="1"/>
  <c r="M4998" i="1"/>
  <c r="M4997" i="1"/>
  <c r="M4996" i="1"/>
  <c r="M4995" i="1"/>
  <c r="M4994" i="1"/>
  <c r="M4993" i="1"/>
  <c r="M4992" i="1"/>
  <c r="M4991" i="1"/>
  <c r="M4990" i="1"/>
  <c r="M4989" i="1"/>
  <c r="M4988" i="1"/>
  <c r="M4987" i="1"/>
  <c r="M4986" i="1"/>
  <c r="M4985" i="1"/>
  <c r="M4984" i="1"/>
  <c r="M4983" i="1"/>
  <c r="M4982" i="1"/>
  <c r="M4981" i="1"/>
  <c r="M4980" i="1"/>
  <c r="M4979" i="1"/>
  <c r="M4978" i="1"/>
  <c r="M4977" i="1"/>
  <c r="M4976" i="1"/>
  <c r="M4975" i="1"/>
  <c r="M4974" i="1"/>
  <c r="M4973" i="1"/>
  <c r="M4972" i="1"/>
  <c r="M4971" i="1"/>
  <c r="M4970" i="1"/>
  <c r="M4969" i="1"/>
  <c r="M4968" i="1"/>
  <c r="M4967" i="1"/>
  <c r="M4966" i="1"/>
  <c r="M4965" i="1"/>
  <c r="M4964" i="1"/>
  <c r="M4963" i="1"/>
  <c r="M4962" i="1"/>
  <c r="M4961" i="1"/>
  <c r="M4960" i="1"/>
  <c r="M4959" i="1"/>
  <c r="M4958" i="1"/>
  <c r="M4957" i="1"/>
  <c r="M4956" i="1"/>
  <c r="M4955" i="1"/>
  <c r="M4954" i="1"/>
  <c r="M4953" i="1"/>
  <c r="M4952" i="1"/>
  <c r="M4951" i="1"/>
  <c r="M4950" i="1"/>
  <c r="M4949" i="1"/>
  <c r="M4948" i="1"/>
  <c r="M4947" i="1"/>
  <c r="M4946" i="1"/>
  <c r="M4945" i="1"/>
  <c r="M4944" i="1"/>
  <c r="M4943" i="1"/>
  <c r="M4942" i="1"/>
  <c r="M4941" i="1"/>
  <c r="M4940" i="1"/>
  <c r="M4939" i="1"/>
  <c r="M4938" i="1"/>
  <c r="M4937" i="1"/>
  <c r="M4936" i="1"/>
  <c r="M4935" i="1"/>
  <c r="M4934" i="1"/>
  <c r="M4933" i="1"/>
  <c r="M4932" i="1"/>
  <c r="M4931" i="1"/>
  <c r="M4930" i="1"/>
  <c r="M4929" i="1"/>
  <c r="M4928" i="1"/>
  <c r="M4927" i="1"/>
  <c r="M4926" i="1"/>
  <c r="M4925" i="1"/>
  <c r="M4924" i="1"/>
  <c r="M4923" i="1"/>
  <c r="M4922" i="1"/>
  <c r="M4921" i="1"/>
  <c r="M4920" i="1"/>
  <c r="M4919" i="1"/>
  <c r="M4918" i="1"/>
  <c r="M4917" i="1"/>
  <c r="M4916" i="1"/>
  <c r="M4915" i="1"/>
  <c r="M4914" i="1"/>
  <c r="M4913" i="1"/>
  <c r="M4912" i="1"/>
  <c r="M4911" i="1"/>
  <c r="M4910" i="1"/>
  <c r="M4909" i="1"/>
  <c r="M4908" i="1"/>
  <c r="M4907" i="1"/>
  <c r="M4906" i="1"/>
  <c r="M4905" i="1"/>
  <c r="M4904" i="1"/>
  <c r="M4903" i="1"/>
  <c r="M4902" i="1"/>
  <c r="M4901" i="1"/>
  <c r="M4900" i="1"/>
  <c r="M4899" i="1"/>
  <c r="M4898" i="1"/>
  <c r="M4897" i="1"/>
  <c r="M4896" i="1"/>
  <c r="M4895" i="1"/>
  <c r="M4894" i="1"/>
  <c r="M4893" i="1"/>
  <c r="M4892" i="1"/>
  <c r="M4891" i="1"/>
  <c r="M4890" i="1"/>
  <c r="M4889" i="1"/>
  <c r="M4888" i="1"/>
  <c r="M4887" i="1"/>
  <c r="M4886" i="1"/>
  <c r="M4885" i="1"/>
  <c r="M4884" i="1"/>
  <c r="M4883" i="1"/>
  <c r="M4882" i="1"/>
  <c r="M4881" i="1"/>
  <c r="M4880" i="1"/>
  <c r="M4879" i="1"/>
  <c r="M4878" i="1"/>
  <c r="M4877" i="1"/>
  <c r="M4876" i="1"/>
  <c r="M4875" i="1"/>
  <c r="M4874" i="1"/>
  <c r="M4873" i="1"/>
  <c r="M4872" i="1"/>
  <c r="M4871" i="1"/>
  <c r="M4870" i="1"/>
  <c r="M4869" i="1"/>
  <c r="M4868" i="1"/>
  <c r="M4867" i="1"/>
  <c r="M4866" i="1"/>
  <c r="M4865" i="1"/>
  <c r="M4864" i="1"/>
  <c r="M4863" i="1"/>
  <c r="M4862" i="1"/>
  <c r="M4861" i="1"/>
  <c r="M4860" i="1"/>
  <c r="M4859" i="1"/>
  <c r="M4858" i="1"/>
  <c r="M4857" i="1"/>
  <c r="M4856" i="1"/>
  <c r="M4855" i="1"/>
  <c r="M4854" i="1"/>
  <c r="M4853" i="1"/>
  <c r="M4852" i="1"/>
  <c r="M4851" i="1"/>
  <c r="M4850" i="1"/>
  <c r="M4849" i="1"/>
  <c r="M4848" i="1"/>
  <c r="M4847" i="1"/>
  <c r="M4846" i="1"/>
  <c r="M4845" i="1"/>
  <c r="M4844" i="1"/>
  <c r="M4843" i="1"/>
  <c r="M4842" i="1"/>
  <c r="M4841" i="1"/>
  <c r="M4840" i="1"/>
  <c r="M4839" i="1"/>
  <c r="M4838" i="1"/>
  <c r="M4837" i="1"/>
  <c r="M4836" i="1"/>
  <c r="M4835" i="1"/>
  <c r="M4834" i="1"/>
  <c r="M4833" i="1"/>
  <c r="M4832" i="1"/>
  <c r="M4831" i="1"/>
  <c r="M4830" i="1"/>
  <c r="M4829" i="1"/>
  <c r="M4828" i="1"/>
  <c r="M4827" i="1"/>
  <c r="M4826" i="1"/>
  <c r="M4825" i="1"/>
  <c r="M4824" i="1"/>
  <c r="M4823" i="1"/>
  <c r="M4822" i="1"/>
  <c r="M4821" i="1"/>
  <c r="M4820" i="1"/>
  <c r="M4819" i="1"/>
  <c r="M4818" i="1"/>
  <c r="M4817" i="1"/>
  <c r="M4816" i="1"/>
  <c r="M4815" i="1"/>
  <c r="M4814" i="1"/>
  <c r="M4813" i="1"/>
  <c r="M4812" i="1"/>
  <c r="M4811" i="1"/>
  <c r="M4810" i="1"/>
  <c r="M4809" i="1"/>
  <c r="M4808" i="1"/>
  <c r="M4807" i="1"/>
  <c r="M4806" i="1"/>
  <c r="M4805" i="1"/>
  <c r="M4804" i="1"/>
  <c r="M4803" i="1"/>
  <c r="M4802" i="1"/>
  <c r="M4801" i="1"/>
  <c r="M4800" i="1"/>
  <c r="M4799" i="1"/>
  <c r="M4798" i="1"/>
  <c r="M4797" i="1"/>
  <c r="M4796" i="1"/>
  <c r="M4795" i="1"/>
  <c r="M4794" i="1"/>
  <c r="M4793" i="1"/>
  <c r="M4792" i="1"/>
  <c r="M4791" i="1"/>
  <c r="M4790" i="1"/>
  <c r="M4789" i="1"/>
  <c r="M4788" i="1"/>
  <c r="M4787" i="1"/>
  <c r="M4786" i="1"/>
  <c r="M4785" i="1"/>
  <c r="M4784" i="1"/>
  <c r="M4783" i="1"/>
  <c r="M4782" i="1"/>
  <c r="M4781" i="1"/>
  <c r="M4780" i="1"/>
  <c r="M4779" i="1"/>
  <c r="M4778" i="1"/>
  <c r="M4777" i="1"/>
  <c r="M4776" i="1"/>
  <c r="M4775" i="1"/>
  <c r="M4774" i="1"/>
  <c r="M4773" i="1"/>
  <c r="M4772" i="1"/>
  <c r="M4771" i="1"/>
  <c r="M4770" i="1"/>
  <c r="M4769" i="1"/>
  <c r="M4768" i="1"/>
  <c r="M4767" i="1"/>
  <c r="M4766" i="1"/>
  <c r="M4765" i="1"/>
  <c r="M4764" i="1"/>
  <c r="M4763" i="1"/>
  <c r="M4762" i="1"/>
  <c r="M4761" i="1"/>
  <c r="M4760" i="1"/>
  <c r="M4759" i="1"/>
  <c r="M4758" i="1"/>
  <c r="M4757" i="1"/>
  <c r="M4756" i="1"/>
  <c r="M4755" i="1"/>
  <c r="M4754" i="1"/>
  <c r="M4753" i="1"/>
  <c r="M4752" i="1"/>
  <c r="M4751" i="1"/>
  <c r="M4750" i="1"/>
  <c r="M4749" i="1"/>
  <c r="M4748" i="1"/>
  <c r="M4747" i="1"/>
  <c r="M4746" i="1"/>
  <c r="M4745" i="1"/>
  <c r="M4744" i="1"/>
  <c r="M4743" i="1"/>
  <c r="M4742" i="1"/>
  <c r="M4741" i="1"/>
  <c r="M4740" i="1"/>
  <c r="M4739" i="1"/>
  <c r="M4738" i="1"/>
  <c r="M4737" i="1"/>
  <c r="M4736" i="1"/>
  <c r="M4735" i="1"/>
  <c r="M4734" i="1"/>
  <c r="M4733" i="1"/>
  <c r="M4732" i="1"/>
  <c r="M4731" i="1"/>
  <c r="M4730" i="1"/>
  <c r="M4729" i="1"/>
  <c r="M4728" i="1"/>
  <c r="M4727" i="1"/>
  <c r="M4726" i="1"/>
  <c r="M4725" i="1"/>
  <c r="M4724" i="1"/>
  <c r="M4723" i="1"/>
  <c r="M4722" i="1"/>
  <c r="M4721" i="1"/>
  <c r="M4720" i="1"/>
  <c r="M4719" i="1"/>
  <c r="M4718" i="1"/>
  <c r="M4717" i="1"/>
  <c r="M4716" i="1"/>
  <c r="M4715" i="1"/>
  <c r="M4714" i="1"/>
  <c r="M4713" i="1"/>
  <c r="M4712" i="1"/>
  <c r="M4711" i="1"/>
  <c r="M4710" i="1"/>
  <c r="M4709" i="1"/>
  <c r="M4708" i="1"/>
  <c r="M4707" i="1"/>
  <c r="M4706" i="1"/>
  <c r="M4705" i="1"/>
  <c r="M4704" i="1"/>
  <c r="M4703" i="1"/>
  <c r="M4702" i="1"/>
  <c r="M4701" i="1"/>
  <c r="M4700" i="1"/>
  <c r="M4699" i="1"/>
  <c r="M4698" i="1"/>
  <c r="M4697" i="1"/>
  <c r="M4696" i="1"/>
  <c r="M4695" i="1"/>
  <c r="M4694" i="1"/>
  <c r="M4693" i="1"/>
  <c r="M4692" i="1"/>
  <c r="M4691" i="1"/>
  <c r="M4690" i="1"/>
  <c r="M4689" i="1"/>
  <c r="M4688" i="1"/>
  <c r="M4687" i="1"/>
  <c r="M4686" i="1"/>
  <c r="M4685" i="1"/>
  <c r="M4684" i="1"/>
  <c r="M4683" i="1"/>
  <c r="M4682" i="1"/>
  <c r="M4681" i="1"/>
  <c r="M4680" i="1"/>
  <c r="M4679" i="1"/>
  <c r="M4678" i="1"/>
  <c r="M4677" i="1"/>
  <c r="M4676" i="1"/>
  <c r="M4675" i="1"/>
  <c r="M4674" i="1"/>
  <c r="M4673" i="1"/>
  <c r="M4672" i="1"/>
  <c r="M4671" i="1"/>
  <c r="M4670" i="1"/>
  <c r="M4669" i="1"/>
  <c r="M4668" i="1"/>
  <c r="M4667" i="1"/>
  <c r="M4666" i="1"/>
  <c r="M4665" i="1"/>
  <c r="M4664" i="1"/>
  <c r="M4663" i="1"/>
  <c r="M4662" i="1"/>
  <c r="M4661" i="1"/>
  <c r="M4660" i="1"/>
  <c r="M4659" i="1"/>
  <c r="M4658" i="1"/>
  <c r="M4657" i="1"/>
  <c r="M4656" i="1"/>
  <c r="M4655" i="1"/>
  <c r="M4654" i="1"/>
  <c r="M4653" i="1"/>
  <c r="M4652" i="1"/>
  <c r="M4651" i="1"/>
  <c r="M4650" i="1"/>
  <c r="M4649" i="1"/>
  <c r="M4648" i="1"/>
  <c r="M4647" i="1"/>
  <c r="M4646" i="1"/>
  <c r="M4645" i="1"/>
  <c r="M4644" i="1"/>
  <c r="M4643" i="1"/>
  <c r="M4642" i="1"/>
  <c r="M4641" i="1"/>
  <c r="M4640" i="1"/>
  <c r="M4639" i="1"/>
  <c r="M4638" i="1"/>
  <c r="M4637" i="1"/>
  <c r="M4636" i="1"/>
  <c r="M4635" i="1"/>
  <c r="M4634" i="1"/>
  <c r="M4633" i="1"/>
  <c r="M4632" i="1"/>
  <c r="M4631" i="1"/>
  <c r="M4630" i="1"/>
  <c r="M4629" i="1"/>
  <c r="M4628" i="1"/>
  <c r="M4627" i="1"/>
  <c r="M4626" i="1"/>
  <c r="M4625" i="1"/>
  <c r="M4624" i="1"/>
  <c r="M4623" i="1"/>
  <c r="M4622" i="1"/>
  <c r="M4621" i="1"/>
  <c r="M4620" i="1"/>
  <c r="M4619" i="1"/>
  <c r="M4618" i="1"/>
  <c r="M4617" i="1"/>
  <c r="M4616" i="1"/>
  <c r="M4615" i="1"/>
  <c r="M4614" i="1"/>
  <c r="M4613" i="1"/>
  <c r="M4612" i="1"/>
  <c r="M4611" i="1"/>
  <c r="M4610" i="1"/>
  <c r="M4609" i="1"/>
  <c r="M4608" i="1"/>
  <c r="M4607" i="1"/>
  <c r="M4606" i="1"/>
  <c r="M4605" i="1"/>
  <c r="M4604" i="1"/>
  <c r="M4603" i="1"/>
  <c r="M4602" i="1"/>
  <c r="M4601" i="1"/>
  <c r="M4600" i="1"/>
  <c r="M4599" i="1"/>
  <c r="M4598" i="1"/>
  <c r="M4597" i="1"/>
  <c r="M4596" i="1"/>
  <c r="M4595" i="1"/>
  <c r="M4594" i="1"/>
  <c r="M4593" i="1"/>
  <c r="M4592" i="1"/>
  <c r="M4591" i="1"/>
  <c r="M4590" i="1"/>
  <c r="M4589" i="1"/>
  <c r="M4588" i="1"/>
  <c r="M4587" i="1"/>
  <c r="M4586" i="1"/>
  <c r="M4585" i="1"/>
  <c r="M4584" i="1"/>
  <c r="M4583" i="1"/>
  <c r="M4582" i="1"/>
  <c r="M4581" i="1"/>
  <c r="M4580" i="1"/>
  <c r="M4579" i="1"/>
  <c r="M4578" i="1"/>
  <c r="M4577" i="1"/>
  <c r="M4576" i="1"/>
  <c r="M4575" i="1"/>
  <c r="M4574" i="1"/>
  <c r="M4573" i="1"/>
  <c r="M4572" i="1"/>
  <c r="M4571" i="1"/>
  <c r="M4570" i="1"/>
  <c r="M4569" i="1"/>
  <c r="M4568" i="1"/>
  <c r="M4567" i="1"/>
  <c r="M4566" i="1"/>
  <c r="M4565" i="1"/>
  <c r="M4564" i="1"/>
  <c r="M4563" i="1"/>
  <c r="M4562" i="1"/>
  <c r="M4561" i="1"/>
  <c r="M4560" i="1"/>
  <c r="M4559" i="1"/>
  <c r="M4558" i="1"/>
  <c r="M4557" i="1"/>
  <c r="M4556" i="1"/>
  <c r="M4555" i="1"/>
  <c r="M4554" i="1"/>
  <c r="M4553" i="1"/>
  <c r="M4552" i="1"/>
  <c r="M4551" i="1"/>
  <c r="M4550" i="1"/>
  <c r="M4549" i="1"/>
  <c r="M4548" i="1"/>
  <c r="M4547" i="1"/>
  <c r="M4546" i="1"/>
  <c r="M4545" i="1"/>
  <c r="M4544" i="1"/>
  <c r="M4543" i="1"/>
  <c r="M4542" i="1"/>
  <c r="M4541" i="1"/>
  <c r="M4540" i="1"/>
  <c r="M4539" i="1"/>
  <c r="M4538" i="1"/>
  <c r="M4537" i="1"/>
  <c r="M4536" i="1"/>
  <c r="M4535" i="1"/>
  <c r="M4534" i="1"/>
  <c r="M4533" i="1"/>
  <c r="M4532" i="1"/>
  <c r="M4531" i="1"/>
  <c r="M4530" i="1"/>
  <c r="M4529" i="1"/>
  <c r="M4528" i="1"/>
  <c r="M4527" i="1"/>
  <c r="M4526" i="1"/>
  <c r="M4525" i="1"/>
  <c r="M4524" i="1"/>
  <c r="M4523" i="1"/>
  <c r="M4522" i="1"/>
  <c r="M4521" i="1"/>
  <c r="M4520" i="1"/>
  <c r="M4519" i="1"/>
  <c r="M4518" i="1"/>
  <c r="M4517" i="1"/>
  <c r="M4516" i="1"/>
  <c r="M4515" i="1"/>
  <c r="M4514" i="1"/>
  <c r="M4513" i="1"/>
  <c r="M4512" i="1"/>
  <c r="M4511" i="1"/>
  <c r="M4510" i="1"/>
  <c r="M4509" i="1"/>
  <c r="M4508" i="1"/>
  <c r="M4507" i="1"/>
  <c r="M4506" i="1"/>
  <c r="M4505" i="1"/>
  <c r="M4504" i="1"/>
  <c r="M4503" i="1"/>
  <c r="M4502" i="1"/>
  <c r="M4501" i="1"/>
  <c r="M4500" i="1"/>
  <c r="M4499" i="1"/>
  <c r="M4498" i="1"/>
  <c r="M4497" i="1"/>
  <c r="M4496" i="1"/>
  <c r="M4495" i="1"/>
  <c r="M4494" i="1"/>
  <c r="M4493" i="1"/>
  <c r="M4492" i="1"/>
  <c r="M4491" i="1"/>
  <c r="M4490" i="1"/>
  <c r="M4489" i="1"/>
  <c r="M4488" i="1"/>
  <c r="M4487" i="1"/>
  <c r="M4486" i="1"/>
  <c r="M4485" i="1"/>
  <c r="M4484" i="1"/>
  <c r="M4483" i="1"/>
  <c r="M4482" i="1"/>
  <c r="M4481" i="1"/>
  <c r="M4480" i="1"/>
  <c r="M4479" i="1"/>
  <c r="M4478" i="1"/>
  <c r="M4477" i="1"/>
  <c r="M4476" i="1"/>
  <c r="M4475" i="1"/>
  <c r="M4474" i="1"/>
  <c r="M4473" i="1"/>
  <c r="M4472" i="1"/>
  <c r="M4471" i="1"/>
  <c r="M4470" i="1"/>
  <c r="M4469" i="1"/>
  <c r="M4468" i="1"/>
  <c r="M4467" i="1"/>
  <c r="M4466" i="1"/>
  <c r="M4465" i="1"/>
  <c r="M4464" i="1"/>
  <c r="M4463" i="1"/>
  <c r="M4462" i="1"/>
  <c r="M4461" i="1"/>
  <c r="M4460" i="1"/>
  <c r="M4459" i="1"/>
  <c r="M4458" i="1"/>
  <c r="M4457" i="1"/>
  <c r="M4456" i="1"/>
  <c r="M4455" i="1"/>
  <c r="M4454" i="1"/>
  <c r="M4453" i="1"/>
  <c r="M4452" i="1"/>
  <c r="M4451" i="1"/>
  <c r="M4450" i="1"/>
  <c r="M4449" i="1"/>
  <c r="M4448" i="1"/>
  <c r="M4447" i="1"/>
  <c r="M4446" i="1"/>
  <c r="M4445" i="1"/>
  <c r="M4444" i="1"/>
  <c r="M4443" i="1"/>
  <c r="M4442" i="1"/>
  <c r="M4441" i="1"/>
  <c r="M4440" i="1"/>
  <c r="M4439" i="1"/>
  <c r="M4438" i="1"/>
  <c r="M4437" i="1"/>
  <c r="M4436" i="1"/>
  <c r="M4435" i="1"/>
  <c r="M4434" i="1"/>
  <c r="M4433" i="1"/>
  <c r="M4432" i="1"/>
  <c r="M4431" i="1"/>
  <c r="M4430" i="1"/>
  <c r="M4429" i="1"/>
  <c r="M4428" i="1"/>
  <c r="M4427" i="1"/>
  <c r="M4426" i="1"/>
  <c r="M4425" i="1"/>
  <c r="M4424" i="1"/>
  <c r="M4423" i="1"/>
  <c r="M4422" i="1"/>
  <c r="M4421" i="1"/>
  <c r="M4420" i="1"/>
  <c r="M4419" i="1"/>
  <c r="M4418" i="1"/>
  <c r="M4417" i="1"/>
  <c r="M4416" i="1"/>
  <c r="M4415" i="1"/>
  <c r="M4414" i="1"/>
  <c r="M4413" i="1"/>
  <c r="M4412" i="1"/>
  <c r="M4411" i="1"/>
  <c r="M4410" i="1"/>
  <c r="M4409" i="1"/>
  <c r="M4408" i="1"/>
  <c r="M4407" i="1"/>
  <c r="M4406" i="1"/>
  <c r="M4405" i="1"/>
  <c r="M4404" i="1"/>
  <c r="M4403" i="1"/>
  <c r="M4402" i="1"/>
  <c r="M4401" i="1"/>
  <c r="M4400" i="1"/>
  <c r="M4399" i="1"/>
  <c r="M4398" i="1"/>
  <c r="M4397" i="1"/>
  <c r="M4396" i="1"/>
  <c r="M4395" i="1"/>
  <c r="M4394" i="1"/>
  <c r="M4393" i="1"/>
  <c r="M4392" i="1"/>
  <c r="M4391" i="1"/>
  <c r="M4390" i="1"/>
  <c r="M4389" i="1"/>
  <c r="M4388" i="1"/>
  <c r="M4387" i="1"/>
  <c r="M4386" i="1"/>
  <c r="M4385" i="1"/>
  <c r="M4384" i="1"/>
  <c r="M4383" i="1"/>
  <c r="M4382" i="1"/>
  <c r="M4381" i="1"/>
  <c r="M4380" i="1"/>
  <c r="M4379" i="1"/>
  <c r="M4378" i="1"/>
  <c r="M4377" i="1"/>
  <c r="M4376" i="1"/>
  <c r="M4375" i="1"/>
  <c r="M4374" i="1"/>
  <c r="M4373" i="1"/>
  <c r="M4372" i="1"/>
  <c r="M4371" i="1"/>
  <c r="M4370" i="1"/>
  <c r="M4369" i="1"/>
  <c r="M4368" i="1"/>
  <c r="M4367" i="1"/>
  <c r="M4366" i="1"/>
  <c r="M4365" i="1"/>
  <c r="M4364" i="1"/>
  <c r="M4363" i="1"/>
  <c r="M4362" i="1"/>
  <c r="M4361" i="1"/>
  <c r="M4360" i="1"/>
  <c r="M4359" i="1"/>
  <c r="M4358" i="1"/>
  <c r="M4357" i="1"/>
  <c r="M4356" i="1"/>
  <c r="M4355" i="1"/>
  <c r="M4354" i="1"/>
  <c r="M4353" i="1"/>
  <c r="M4352" i="1"/>
  <c r="M4351" i="1"/>
  <c r="M4350" i="1"/>
  <c r="M4349" i="1"/>
  <c r="M4348" i="1"/>
  <c r="M4347" i="1"/>
  <c r="M4346" i="1"/>
  <c r="M4345" i="1"/>
  <c r="M4344" i="1"/>
  <c r="M4343" i="1"/>
  <c r="M4342" i="1"/>
  <c r="M4341" i="1"/>
  <c r="M4340" i="1"/>
  <c r="M4339" i="1"/>
  <c r="M4338" i="1"/>
  <c r="M4337" i="1"/>
  <c r="M4336" i="1"/>
  <c r="M4335" i="1"/>
  <c r="M4334" i="1"/>
  <c r="M4333" i="1"/>
  <c r="M4332" i="1"/>
  <c r="M4331" i="1"/>
  <c r="M4330" i="1"/>
  <c r="M4329" i="1"/>
  <c r="M4328" i="1"/>
  <c r="M4327" i="1"/>
  <c r="M4326" i="1"/>
  <c r="M4325" i="1"/>
  <c r="M4324" i="1"/>
  <c r="M4323" i="1"/>
  <c r="M4322" i="1"/>
  <c r="M4321" i="1"/>
  <c r="M4320" i="1"/>
  <c r="M4319" i="1"/>
  <c r="M4318" i="1"/>
  <c r="M4317" i="1"/>
  <c r="M4316" i="1"/>
  <c r="M4315" i="1"/>
  <c r="M4314" i="1"/>
  <c r="M4313" i="1"/>
  <c r="M4312" i="1"/>
  <c r="M4311" i="1"/>
  <c r="M4310" i="1"/>
  <c r="M4309" i="1"/>
  <c r="M4308" i="1"/>
  <c r="M4307" i="1"/>
  <c r="M4306" i="1"/>
  <c r="M4305" i="1"/>
  <c r="M4304" i="1"/>
  <c r="M4303" i="1"/>
  <c r="M4302" i="1"/>
  <c r="M4301" i="1"/>
  <c r="M4300" i="1"/>
  <c r="M4299" i="1"/>
  <c r="M4298" i="1"/>
  <c r="M4297" i="1"/>
  <c r="M4296" i="1"/>
  <c r="M4295" i="1"/>
  <c r="M4294" i="1"/>
  <c r="M4293" i="1"/>
  <c r="M4292" i="1"/>
  <c r="M4291" i="1"/>
  <c r="M4290" i="1"/>
  <c r="M4289" i="1"/>
  <c r="M4288" i="1"/>
  <c r="M4287" i="1"/>
  <c r="M4286" i="1"/>
  <c r="M4285" i="1"/>
  <c r="M4284" i="1"/>
  <c r="M4283" i="1"/>
  <c r="M4282" i="1"/>
  <c r="M4281" i="1"/>
  <c r="M4280" i="1"/>
  <c r="M4279" i="1"/>
  <c r="M4278" i="1"/>
  <c r="M4277" i="1"/>
  <c r="M4276" i="1"/>
  <c r="M4275" i="1"/>
  <c r="M4274" i="1"/>
  <c r="M4273" i="1"/>
  <c r="M4272" i="1"/>
  <c r="M4271" i="1"/>
  <c r="M4270" i="1"/>
  <c r="M4269" i="1"/>
  <c r="M4268" i="1"/>
  <c r="M4267" i="1"/>
  <c r="M4266" i="1"/>
  <c r="M4265" i="1"/>
  <c r="M4264" i="1"/>
  <c r="M4263" i="1"/>
  <c r="M4262" i="1"/>
  <c r="M4261" i="1"/>
  <c r="M4260" i="1"/>
  <c r="M4259" i="1"/>
  <c r="M4258" i="1"/>
  <c r="M4257" i="1"/>
  <c r="M4256" i="1"/>
  <c r="M4255" i="1"/>
  <c r="M4254" i="1"/>
  <c r="M4253" i="1"/>
  <c r="M4252" i="1"/>
  <c r="M4251" i="1"/>
  <c r="M4250" i="1"/>
  <c r="M4249" i="1"/>
  <c r="M4248" i="1"/>
  <c r="M4247" i="1"/>
  <c r="M4246" i="1"/>
  <c r="M4245" i="1"/>
  <c r="M4244" i="1"/>
  <c r="M4243" i="1"/>
  <c r="M4242" i="1"/>
  <c r="M4241" i="1"/>
  <c r="M4240" i="1"/>
  <c r="M4239" i="1"/>
  <c r="M4238" i="1"/>
  <c r="M4237" i="1"/>
  <c r="M4236" i="1"/>
  <c r="M4235" i="1"/>
  <c r="M4234" i="1"/>
  <c r="M4233" i="1"/>
  <c r="M4232" i="1"/>
  <c r="M4231" i="1"/>
  <c r="M4230" i="1"/>
  <c r="M4229" i="1"/>
  <c r="M4228" i="1"/>
  <c r="M4227" i="1"/>
  <c r="M4226" i="1"/>
  <c r="M4225" i="1"/>
  <c r="M4224" i="1"/>
  <c r="M4223" i="1"/>
  <c r="M4222" i="1"/>
  <c r="M4221" i="1"/>
  <c r="M4220" i="1"/>
  <c r="M4219" i="1"/>
  <c r="M4218" i="1"/>
  <c r="M4217" i="1"/>
  <c r="M4216" i="1"/>
  <c r="M4215" i="1"/>
  <c r="M4214" i="1"/>
  <c r="M4213" i="1"/>
  <c r="M4212" i="1"/>
  <c r="M4211" i="1"/>
  <c r="M4210" i="1"/>
  <c r="M4209" i="1"/>
  <c r="M4208" i="1"/>
  <c r="M4207" i="1"/>
  <c r="M4206" i="1"/>
  <c r="M4205" i="1"/>
  <c r="M4204" i="1"/>
  <c r="M4203" i="1"/>
  <c r="M4202" i="1"/>
  <c r="M4201" i="1"/>
  <c r="M4200" i="1"/>
  <c r="M4199" i="1"/>
  <c r="M4198" i="1"/>
  <c r="M4197" i="1"/>
  <c r="M4196" i="1"/>
  <c r="M4195" i="1"/>
  <c r="M4194" i="1"/>
  <c r="M4193" i="1"/>
  <c r="M4192" i="1"/>
  <c r="M4191" i="1"/>
  <c r="M4190" i="1"/>
  <c r="M4189" i="1"/>
  <c r="M4188" i="1"/>
  <c r="M4187" i="1"/>
  <c r="M4186" i="1"/>
  <c r="M4185" i="1"/>
  <c r="M4184" i="1"/>
  <c r="M4183" i="1"/>
  <c r="M4182" i="1"/>
  <c r="M4181" i="1"/>
  <c r="M4180" i="1"/>
  <c r="M4179" i="1"/>
  <c r="M4178" i="1"/>
  <c r="M4177" i="1"/>
  <c r="M4176" i="1"/>
  <c r="M4175" i="1"/>
  <c r="M4174" i="1"/>
  <c r="M4173" i="1"/>
  <c r="M4172" i="1"/>
  <c r="M4171" i="1"/>
  <c r="M4170" i="1"/>
  <c r="M4169" i="1"/>
  <c r="M4168" i="1"/>
  <c r="M4167" i="1"/>
  <c r="M4166" i="1"/>
  <c r="M4165" i="1"/>
  <c r="M4164" i="1"/>
  <c r="M4163" i="1"/>
  <c r="M4162" i="1"/>
  <c r="M4161" i="1"/>
  <c r="M4160" i="1"/>
  <c r="M4159" i="1"/>
  <c r="M4158" i="1"/>
  <c r="M4157" i="1"/>
  <c r="M4156" i="1"/>
  <c r="M4155" i="1"/>
  <c r="M4154" i="1"/>
  <c r="M4153" i="1"/>
  <c r="M4152" i="1"/>
  <c r="M4151" i="1"/>
  <c r="M4150" i="1"/>
  <c r="M4149" i="1"/>
  <c r="M4148" i="1"/>
  <c r="M4147" i="1"/>
  <c r="M4146" i="1"/>
  <c r="M4145" i="1"/>
  <c r="M4144" i="1"/>
  <c r="M4143" i="1"/>
  <c r="M4142" i="1"/>
  <c r="M4141" i="1"/>
  <c r="M4140" i="1"/>
  <c r="M4139" i="1"/>
  <c r="M4138" i="1"/>
  <c r="M4137" i="1"/>
  <c r="M4136" i="1"/>
  <c r="M4135" i="1"/>
  <c r="M4134" i="1"/>
  <c r="M4133" i="1"/>
  <c r="M4132" i="1"/>
  <c r="M4131" i="1"/>
  <c r="M4130" i="1"/>
  <c r="M4129" i="1"/>
  <c r="M4128" i="1"/>
  <c r="M4127" i="1"/>
  <c r="M4126" i="1"/>
  <c r="M4125" i="1"/>
  <c r="M4124" i="1"/>
  <c r="M4123" i="1"/>
  <c r="M4122" i="1"/>
  <c r="M4121" i="1"/>
  <c r="M4120" i="1"/>
  <c r="M4119" i="1"/>
  <c r="M4118" i="1"/>
  <c r="M4117" i="1"/>
  <c r="M4116" i="1"/>
  <c r="M4115" i="1"/>
  <c r="M4114" i="1"/>
  <c r="M4113" i="1"/>
  <c r="M4112" i="1"/>
  <c r="M4111" i="1"/>
  <c r="M4110" i="1"/>
  <c r="M4109" i="1"/>
  <c r="M4108" i="1"/>
  <c r="M4107" i="1"/>
  <c r="M4106" i="1"/>
  <c r="M4105" i="1"/>
  <c r="M4104" i="1"/>
  <c r="M4103" i="1"/>
  <c r="M4102" i="1"/>
  <c r="M4101" i="1"/>
  <c r="M4100" i="1"/>
  <c r="M4099" i="1"/>
  <c r="M4098" i="1"/>
  <c r="M4097" i="1"/>
  <c r="M4096" i="1"/>
  <c r="M4095" i="1"/>
  <c r="M4094" i="1"/>
  <c r="M4093" i="1"/>
  <c r="M4092" i="1"/>
  <c r="M4091" i="1"/>
  <c r="M4090" i="1"/>
  <c r="M4089" i="1"/>
  <c r="M4088" i="1"/>
  <c r="M4087" i="1"/>
  <c r="M4086" i="1"/>
  <c r="M4085" i="1"/>
  <c r="M4084" i="1"/>
  <c r="M4083" i="1"/>
  <c r="M4082" i="1"/>
  <c r="M4081" i="1"/>
  <c r="M4080" i="1"/>
  <c r="M4079" i="1"/>
  <c r="M4078" i="1"/>
  <c r="M4077" i="1"/>
  <c r="M4076" i="1"/>
  <c r="M4075" i="1"/>
  <c r="M4074" i="1"/>
  <c r="M4073" i="1"/>
  <c r="M4072" i="1"/>
  <c r="M4071" i="1"/>
  <c r="M4070" i="1"/>
  <c r="M4069" i="1"/>
  <c r="M4068" i="1"/>
  <c r="M4067" i="1"/>
  <c r="M4066" i="1"/>
  <c r="M4065" i="1"/>
  <c r="M4064" i="1"/>
  <c r="M4063" i="1"/>
  <c r="M4062" i="1"/>
  <c r="M4061" i="1"/>
  <c r="M4060" i="1"/>
  <c r="M4059" i="1"/>
  <c r="M4058" i="1"/>
  <c r="M4057" i="1"/>
  <c r="M4056" i="1"/>
  <c r="M4055" i="1"/>
  <c r="M4054" i="1"/>
  <c r="M4053" i="1"/>
  <c r="M4052" i="1"/>
  <c r="M4051" i="1"/>
  <c r="M4050" i="1"/>
  <c r="M4049" i="1"/>
  <c r="M4048" i="1"/>
  <c r="M4047" i="1"/>
  <c r="M4046" i="1"/>
  <c r="M4045" i="1"/>
  <c r="M4044" i="1"/>
  <c r="M4043" i="1"/>
  <c r="M4042" i="1"/>
  <c r="M4041" i="1"/>
  <c r="M4040" i="1"/>
  <c r="M4039" i="1"/>
  <c r="M4038" i="1"/>
  <c r="M4037" i="1"/>
  <c r="M4036" i="1"/>
  <c r="M4035" i="1"/>
  <c r="M4034" i="1"/>
  <c r="M4033" i="1"/>
  <c r="M4032" i="1"/>
  <c r="M4031" i="1"/>
  <c r="M4030" i="1"/>
  <c r="M4029" i="1"/>
  <c r="M4028" i="1"/>
  <c r="M4027" i="1"/>
  <c r="M4026" i="1"/>
  <c r="M4025" i="1"/>
  <c r="M4024" i="1"/>
  <c r="M4023" i="1"/>
  <c r="M4022" i="1"/>
  <c r="M4021" i="1"/>
  <c r="M4020" i="1"/>
  <c r="M4019" i="1"/>
  <c r="M4018" i="1"/>
  <c r="M4017" i="1"/>
  <c r="M4016" i="1"/>
  <c r="M4015" i="1"/>
  <c r="M4014" i="1"/>
  <c r="M4013" i="1"/>
  <c r="M4012" i="1"/>
  <c r="M4011" i="1"/>
  <c r="M4010" i="1"/>
  <c r="M4009" i="1"/>
  <c r="M4008" i="1"/>
  <c r="M4007" i="1"/>
  <c r="M4006" i="1"/>
  <c r="M4005" i="1"/>
  <c r="M4004" i="1"/>
  <c r="M4003" i="1"/>
  <c r="M4002" i="1"/>
  <c r="M4001" i="1"/>
  <c r="M4000" i="1"/>
  <c r="M3999" i="1"/>
  <c r="M3998" i="1"/>
  <c r="M3997" i="1"/>
  <c r="M3996" i="1"/>
  <c r="M3995" i="1"/>
  <c r="M3994" i="1"/>
  <c r="M3993" i="1"/>
  <c r="M3992" i="1"/>
  <c r="M3991" i="1"/>
  <c r="M3990" i="1"/>
  <c r="M3989" i="1"/>
  <c r="M3988" i="1"/>
  <c r="M3987" i="1"/>
  <c r="M3986" i="1"/>
  <c r="M3985" i="1"/>
  <c r="M3984" i="1"/>
  <c r="M3983" i="1"/>
  <c r="M3982" i="1"/>
  <c r="M3981" i="1"/>
  <c r="M3980" i="1"/>
  <c r="M3979" i="1"/>
  <c r="M3978" i="1"/>
  <c r="M3977" i="1"/>
  <c r="M3976" i="1"/>
  <c r="M3975" i="1"/>
  <c r="M3974" i="1"/>
  <c r="M3973" i="1"/>
  <c r="M3972" i="1"/>
  <c r="M3971" i="1"/>
  <c r="M3970" i="1"/>
  <c r="M3969" i="1"/>
  <c r="M3968" i="1"/>
  <c r="M3967" i="1"/>
  <c r="M3966" i="1"/>
  <c r="M3965" i="1"/>
  <c r="M3964" i="1"/>
  <c r="M3963" i="1"/>
  <c r="M3962" i="1"/>
  <c r="M3961" i="1"/>
  <c r="M3960" i="1"/>
  <c r="M3959" i="1"/>
  <c r="M3958" i="1"/>
  <c r="M3957" i="1"/>
  <c r="M3956" i="1"/>
  <c r="M3955" i="1"/>
  <c r="M3954" i="1"/>
  <c r="M3953" i="1"/>
  <c r="M3952" i="1"/>
  <c r="M3951" i="1"/>
  <c r="M3950" i="1"/>
  <c r="M3949" i="1"/>
  <c r="M3948" i="1"/>
  <c r="M3947" i="1"/>
  <c r="M3946" i="1"/>
  <c r="M3945" i="1"/>
  <c r="M3944" i="1"/>
  <c r="M3943" i="1"/>
  <c r="M3942" i="1"/>
  <c r="M3941" i="1"/>
  <c r="M3940" i="1"/>
  <c r="M3939" i="1"/>
  <c r="M3938" i="1"/>
  <c r="M3937" i="1"/>
  <c r="M3936" i="1"/>
  <c r="M3935" i="1"/>
  <c r="M3934" i="1"/>
  <c r="M3933" i="1"/>
  <c r="M3932" i="1"/>
  <c r="M3931" i="1"/>
  <c r="M3930" i="1"/>
  <c r="M3929" i="1"/>
  <c r="M3928" i="1"/>
  <c r="M3927" i="1"/>
  <c r="M3926" i="1"/>
  <c r="M3925" i="1"/>
  <c r="M3924" i="1"/>
  <c r="M3923" i="1"/>
  <c r="M3922" i="1"/>
  <c r="M3921" i="1"/>
  <c r="M3920" i="1"/>
  <c r="M3919" i="1"/>
  <c r="M3918" i="1"/>
  <c r="M3917" i="1"/>
  <c r="M3916" i="1"/>
  <c r="M3915" i="1"/>
  <c r="M3914" i="1"/>
  <c r="M3913" i="1"/>
  <c r="M3912" i="1"/>
  <c r="M3911" i="1"/>
  <c r="M3910" i="1"/>
  <c r="M3909" i="1"/>
  <c r="M3908" i="1"/>
  <c r="M3907" i="1"/>
  <c r="M3906" i="1"/>
  <c r="M3905" i="1"/>
  <c r="M3904" i="1"/>
  <c r="M3903" i="1"/>
  <c r="M3902" i="1"/>
  <c r="M3901" i="1"/>
  <c r="M3900" i="1"/>
  <c r="M3899" i="1"/>
  <c r="M3898" i="1"/>
  <c r="M3897" i="1"/>
  <c r="M3896" i="1"/>
  <c r="M3895" i="1"/>
  <c r="M3894" i="1"/>
  <c r="M3893" i="1"/>
  <c r="M3892" i="1"/>
  <c r="M3891" i="1"/>
  <c r="M3890" i="1"/>
  <c r="M3889" i="1"/>
  <c r="M3888" i="1"/>
  <c r="M3887" i="1"/>
  <c r="M3886" i="1"/>
  <c r="M3885" i="1"/>
  <c r="M3884" i="1"/>
  <c r="M3883" i="1"/>
  <c r="M3882" i="1"/>
  <c r="M3881" i="1"/>
  <c r="M3880" i="1"/>
  <c r="M3879" i="1"/>
  <c r="M3878" i="1"/>
  <c r="M3877" i="1"/>
  <c r="M3876" i="1"/>
  <c r="M3875" i="1"/>
  <c r="M3874" i="1"/>
  <c r="M3873" i="1"/>
  <c r="M3872" i="1"/>
  <c r="M3871" i="1"/>
  <c r="M3870" i="1"/>
  <c r="M3869" i="1"/>
  <c r="M3868" i="1"/>
  <c r="M3867" i="1"/>
  <c r="M3866" i="1"/>
  <c r="M3865" i="1"/>
  <c r="M3864" i="1"/>
  <c r="M3863" i="1"/>
  <c r="M3862" i="1"/>
  <c r="M3861" i="1"/>
  <c r="M3860" i="1"/>
  <c r="M3859" i="1"/>
  <c r="M3858" i="1"/>
  <c r="M3857" i="1"/>
  <c r="M3856" i="1"/>
  <c r="M3855" i="1"/>
  <c r="M3854" i="1"/>
  <c r="M3853" i="1"/>
  <c r="M3852" i="1"/>
  <c r="M3851" i="1"/>
  <c r="M3850" i="1"/>
  <c r="M3849" i="1"/>
  <c r="M3848" i="1"/>
  <c r="M3847" i="1"/>
  <c r="M3846" i="1"/>
  <c r="M3845" i="1"/>
  <c r="M3844" i="1"/>
  <c r="M3843" i="1"/>
  <c r="M3842" i="1"/>
  <c r="M3841" i="1"/>
  <c r="M3840" i="1"/>
  <c r="M3839" i="1"/>
  <c r="M3838" i="1"/>
  <c r="M3837" i="1"/>
  <c r="M3836" i="1"/>
  <c r="M3835" i="1"/>
  <c r="M3834" i="1"/>
  <c r="M3833" i="1"/>
  <c r="M3832" i="1"/>
  <c r="M3831" i="1"/>
  <c r="M3830" i="1"/>
  <c r="M3829" i="1"/>
  <c r="M3828" i="1"/>
  <c r="M3827" i="1"/>
  <c r="M3826" i="1"/>
  <c r="M3825" i="1"/>
  <c r="M3824" i="1"/>
  <c r="M3823" i="1"/>
  <c r="M3822" i="1"/>
  <c r="M3821" i="1"/>
  <c r="M3820" i="1"/>
  <c r="M3819" i="1"/>
  <c r="M3818" i="1"/>
  <c r="M3817" i="1"/>
  <c r="M3816" i="1"/>
  <c r="M3815" i="1"/>
  <c r="M3814" i="1"/>
  <c r="M3813" i="1"/>
  <c r="M3812" i="1"/>
  <c r="M3811" i="1"/>
  <c r="M3810" i="1"/>
  <c r="M3809" i="1"/>
  <c r="M3808" i="1"/>
  <c r="M3807" i="1"/>
  <c r="M3806" i="1"/>
  <c r="M3805" i="1"/>
  <c r="M3804" i="1"/>
  <c r="M3803" i="1"/>
  <c r="M3802" i="1"/>
  <c r="M3801" i="1"/>
  <c r="M3800" i="1"/>
  <c r="M3799" i="1"/>
  <c r="M3798" i="1"/>
  <c r="M3797" i="1"/>
  <c r="M3796" i="1"/>
  <c r="M3795" i="1"/>
  <c r="M3794" i="1"/>
  <c r="M3793" i="1"/>
  <c r="M3792" i="1"/>
  <c r="M3791" i="1"/>
  <c r="M3790" i="1"/>
  <c r="M3789" i="1"/>
  <c r="M3788" i="1"/>
  <c r="M3787" i="1"/>
  <c r="M3786" i="1"/>
  <c r="M3785" i="1"/>
  <c r="M3784" i="1"/>
  <c r="M3783" i="1"/>
  <c r="M3782" i="1"/>
  <c r="M3781" i="1"/>
  <c r="M3780" i="1"/>
  <c r="M3779" i="1"/>
  <c r="M3778" i="1"/>
  <c r="M3777" i="1"/>
  <c r="M3776" i="1"/>
  <c r="M3775" i="1"/>
  <c r="M3774" i="1"/>
  <c r="M3773" i="1"/>
  <c r="M3772" i="1"/>
  <c r="M3771" i="1"/>
  <c r="M3770" i="1"/>
  <c r="M3769" i="1"/>
  <c r="M3768" i="1"/>
  <c r="M3767" i="1"/>
  <c r="M3766" i="1"/>
  <c r="M3765" i="1"/>
  <c r="M3764" i="1"/>
  <c r="M3763" i="1"/>
  <c r="M3762" i="1"/>
  <c r="M3761" i="1"/>
  <c r="M3760" i="1"/>
  <c r="M3759" i="1"/>
  <c r="M3758" i="1"/>
  <c r="M3757" i="1"/>
  <c r="M3756" i="1"/>
  <c r="M3755" i="1"/>
  <c r="M3754" i="1"/>
  <c r="M3753" i="1"/>
  <c r="M3752" i="1"/>
  <c r="M3751" i="1"/>
  <c r="M3750" i="1"/>
  <c r="M3749" i="1"/>
  <c r="M3748" i="1"/>
  <c r="M3747" i="1"/>
  <c r="M3746" i="1"/>
  <c r="M3745" i="1"/>
  <c r="M3744" i="1"/>
  <c r="M3743" i="1"/>
  <c r="M3742" i="1"/>
  <c r="M3741" i="1"/>
  <c r="M3740" i="1"/>
  <c r="M3739" i="1"/>
  <c r="M3738" i="1"/>
  <c r="M3737" i="1"/>
  <c r="M3736" i="1"/>
  <c r="M3735" i="1"/>
  <c r="M3734" i="1"/>
  <c r="M3733" i="1"/>
  <c r="M3732" i="1"/>
  <c r="M3731" i="1"/>
  <c r="M3730" i="1"/>
  <c r="M3729" i="1"/>
  <c r="M3728" i="1"/>
  <c r="M3727" i="1"/>
  <c r="M3726" i="1"/>
  <c r="M3725" i="1"/>
  <c r="M3724" i="1"/>
  <c r="M3723" i="1"/>
  <c r="M3722" i="1"/>
  <c r="M3721" i="1"/>
  <c r="M3720" i="1"/>
  <c r="M3719" i="1"/>
  <c r="M3718" i="1"/>
  <c r="M3717" i="1"/>
  <c r="M3716" i="1"/>
  <c r="M3715" i="1"/>
  <c r="M3714" i="1"/>
  <c r="M3713" i="1"/>
  <c r="M3712" i="1"/>
  <c r="M3711" i="1"/>
  <c r="M3710" i="1"/>
  <c r="M3709" i="1"/>
  <c r="M3708" i="1"/>
  <c r="M3707" i="1"/>
  <c r="M3706" i="1"/>
  <c r="M3705" i="1"/>
  <c r="M3704" i="1"/>
  <c r="M3703" i="1"/>
  <c r="M3702" i="1"/>
  <c r="M3701" i="1"/>
  <c r="M3700" i="1"/>
  <c r="M3699" i="1"/>
  <c r="M3698" i="1"/>
  <c r="M3697" i="1"/>
  <c r="M3696" i="1"/>
  <c r="M3695" i="1"/>
  <c r="M3694" i="1"/>
  <c r="M3693" i="1"/>
  <c r="M3692" i="1"/>
  <c r="M3691" i="1"/>
  <c r="M3690" i="1"/>
  <c r="M3689" i="1"/>
  <c r="M3688" i="1"/>
  <c r="M3687" i="1"/>
  <c r="M3686" i="1"/>
  <c r="M3685" i="1"/>
  <c r="M3684" i="1"/>
  <c r="M3683" i="1"/>
  <c r="M3682" i="1"/>
  <c r="M3681" i="1"/>
  <c r="M3680" i="1"/>
  <c r="M3679" i="1"/>
  <c r="M3678" i="1"/>
  <c r="M3677" i="1"/>
  <c r="M3676" i="1"/>
  <c r="M3675" i="1"/>
  <c r="M3674" i="1"/>
  <c r="M3673" i="1"/>
  <c r="M3672" i="1"/>
  <c r="M3671" i="1"/>
  <c r="M3670" i="1"/>
  <c r="M3669" i="1"/>
  <c r="M3668" i="1"/>
  <c r="M3667" i="1"/>
  <c r="M3666" i="1"/>
  <c r="M3665" i="1"/>
  <c r="M3664" i="1"/>
  <c r="M3663" i="1"/>
  <c r="M3662" i="1"/>
  <c r="M3661" i="1"/>
  <c r="M3660" i="1"/>
  <c r="M3659" i="1"/>
  <c r="M3658" i="1"/>
  <c r="M3657" i="1"/>
  <c r="M3656" i="1"/>
  <c r="M3655" i="1"/>
  <c r="M3654" i="1"/>
  <c r="M3653" i="1"/>
  <c r="M3652" i="1"/>
  <c r="M3651" i="1"/>
  <c r="M3650" i="1"/>
  <c r="M3649" i="1"/>
  <c r="M3648" i="1"/>
  <c r="M3647" i="1"/>
  <c r="M3646" i="1"/>
  <c r="M3645" i="1"/>
  <c r="M3644" i="1"/>
  <c r="M3643" i="1"/>
  <c r="M3642" i="1"/>
  <c r="M3641" i="1"/>
  <c r="M3640" i="1"/>
  <c r="M3639" i="1"/>
  <c r="M3638" i="1"/>
  <c r="M3637" i="1"/>
  <c r="M3636" i="1"/>
  <c r="M3635" i="1"/>
  <c r="M3634" i="1"/>
  <c r="M3633" i="1"/>
  <c r="M3632" i="1"/>
  <c r="M3631" i="1"/>
  <c r="M3630" i="1"/>
  <c r="M3629" i="1"/>
  <c r="M3628" i="1"/>
  <c r="M3627" i="1"/>
  <c r="M3626" i="1"/>
  <c r="M3625" i="1"/>
  <c r="M3624" i="1"/>
  <c r="M3623" i="1"/>
  <c r="M3622" i="1"/>
  <c r="M3621" i="1"/>
  <c r="M3620" i="1"/>
  <c r="M3619" i="1"/>
  <c r="M3618" i="1"/>
  <c r="M3617" i="1"/>
  <c r="M3616" i="1"/>
  <c r="M3615" i="1"/>
  <c r="M3614" i="1"/>
  <c r="M3613" i="1"/>
  <c r="M3612" i="1"/>
  <c r="M3611" i="1"/>
  <c r="M3610" i="1"/>
  <c r="M3609" i="1"/>
  <c r="M3608" i="1"/>
  <c r="M3607" i="1"/>
  <c r="M3606" i="1"/>
  <c r="M3605" i="1"/>
  <c r="M3604" i="1"/>
  <c r="M3603" i="1"/>
  <c r="M3602" i="1"/>
  <c r="M3601" i="1"/>
  <c r="M3600" i="1"/>
  <c r="M3599" i="1"/>
  <c r="M3598" i="1"/>
  <c r="M3597" i="1"/>
  <c r="M3596" i="1"/>
  <c r="M3595" i="1"/>
  <c r="M3594" i="1"/>
  <c r="M3593" i="1"/>
  <c r="M3592" i="1"/>
  <c r="M3591" i="1"/>
  <c r="M3590" i="1"/>
  <c r="M3589" i="1"/>
  <c r="M3588" i="1"/>
  <c r="M3587" i="1"/>
  <c r="M3586" i="1"/>
  <c r="M3585" i="1"/>
  <c r="M3584" i="1"/>
  <c r="M3583" i="1"/>
  <c r="M3582" i="1"/>
  <c r="M3581" i="1"/>
  <c r="M3580" i="1"/>
  <c r="M3579" i="1"/>
  <c r="M3578" i="1"/>
  <c r="M3577" i="1"/>
  <c r="M3576" i="1"/>
  <c r="M3575" i="1"/>
  <c r="M3574" i="1"/>
  <c r="M3573" i="1"/>
  <c r="M3572" i="1"/>
  <c r="M3571" i="1"/>
  <c r="M3570" i="1"/>
  <c r="M3569" i="1"/>
  <c r="M3568" i="1"/>
  <c r="M3567" i="1"/>
  <c r="M3566" i="1"/>
  <c r="M3565" i="1"/>
  <c r="M3564" i="1"/>
  <c r="M3563" i="1"/>
  <c r="M3562" i="1"/>
  <c r="M3561" i="1"/>
  <c r="M3560" i="1"/>
  <c r="M3559" i="1"/>
  <c r="M3558" i="1"/>
  <c r="M3557" i="1"/>
  <c r="M3556" i="1"/>
  <c r="M3555" i="1"/>
  <c r="M3554" i="1"/>
  <c r="M3553" i="1"/>
  <c r="M3552" i="1"/>
  <c r="M3551" i="1"/>
  <c r="M3550" i="1"/>
  <c r="M3549" i="1"/>
  <c r="M3548" i="1"/>
  <c r="M3547" i="1"/>
  <c r="M3546" i="1"/>
  <c r="M3545" i="1"/>
  <c r="M3544" i="1"/>
  <c r="M3543" i="1"/>
  <c r="M3542" i="1"/>
  <c r="M3541" i="1"/>
  <c r="M3540" i="1"/>
  <c r="M3539" i="1"/>
  <c r="M3538" i="1"/>
  <c r="M3537" i="1"/>
  <c r="M3536" i="1"/>
  <c r="M3535" i="1"/>
  <c r="M3534" i="1"/>
  <c r="M3533" i="1"/>
  <c r="M3532" i="1"/>
  <c r="M3531" i="1"/>
  <c r="M3530" i="1"/>
  <c r="M3529" i="1"/>
  <c r="M3528" i="1"/>
  <c r="M3527" i="1"/>
  <c r="M3526" i="1"/>
  <c r="M3525" i="1"/>
  <c r="M3524" i="1"/>
  <c r="M3523" i="1"/>
  <c r="M3522" i="1"/>
  <c r="M3521" i="1"/>
  <c r="M3520" i="1"/>
  <c r="M3519" i="1"/>
  <c r="M3518" i="1"/>
  <c r="M3517" i="1"/>
  <c r="M3516" i="1"/>
  <c r="M3515" i="1"/>
  <c r="M3514" i="1"/>
  <c r="M3513" i="1"/>
  <c r="M3512" i="1"/>
  <c r="M3511" i="1"/>
  <c r="M3510" i="1"/>
  <c r="M3509" i="1"/>
  <c r="M3508" i="1"/>
  <c r="M3507" i="1"/>
  <c r="M3506" i="1"/>
  <c r="M3505" i="1"/>
  <c r="M3504" i="1"/>
  <c r="M3503" i="1"/>
  <c r="M3502" i="1"/>
  <c r="M3501" i="1"/>
  <c r="M3500" i="1"/>
  <c r="M3499" i="1"/>
  <c r="M3498" i="1"/>
  <c r="M3497" i="1"/>
  <c r="M3496" i="1"/>
  <c r="M3495" i="1"/>
  <c r="M3494" i="1"/>
  <c r="M3493" i="1"/>
  <c r="M3492" i="1"/>
  <c r="M3491" i="1"/>
  <c r="M3490" i="1"/>
  <c r="M3489" i="1"/>
  <c r="M3488" i="1"/>
  <c r="M3487" i="1"/>
  <c r="M3486" i="1"/>
  <c r="M3485" i="1"/>
  <c r="M3484" i="1"/>
  <c r="M3483" i="1"/>
  <c r="M3482" i="1"/>
  <c r="M3481" i="1"/>
  <c r="M3480" i="1"/>
  <c r="M3479" i="1"/>
  <c r="M3478" i="1"/>
  <c r="M3477" i="1"/>
  <c r="M3476" i="1"/>
  <c r="M3475" i="1"/>
  <c r="M3474" i="1"/>
  <c r="M3473" i="1"/>
  <c r="M3472" i="1"/>
  <c r="M3471" i="1"/>
  <c r="M3470" i="1"/>
  <c r="M3469" i="1"/>
  <c r="M3468" i="1"/>
  <c r="M3467" i="1"/>
  <c r="M3466" i="1"/>
  <c r="M3465" i="1"/>
  <c r="M3464" i="1"/>
  <c r="M3463" i="1"/>
  <c r="M3462" i="1"/>
  <c r="M3461" i="1"/>
  <c r="M3460" i="1"/>
  <c r="M3459" i="1"/>
  <c r="M3458" i="1"/>
  <c r="M3457" i="1"/>
  <c r="M3456" i="1"/>
  <c r="M3455" i="1"/>
  <c r="M3454" i="1"/>
  <c r="M3453" i="1"/>
  <c r="M3452" i="1"/>
  <c r="M3451" i="1"/>
  <c r="M3450" i="1"/>
  <c r="M3449" i="1"/>
  <c r="M3448" i="1"/>
  <c r="M3447" i="1"/>
  <c r="M3446" i="1"/>
  <c r="M3445" i="1"/>
  <c r="M3444" i="1"/>
  <c r="M3443" i="1"/>
  <c r="M3442" i="1"/>
  <c r="M3441" i="1"/>
  <c r="M3440" i="1"/>
  <c r="M3439" i="1"/>
  <c r="M3438" i="1"/>
  <c r="M3437" i="1"/>
  <c r="M3436" i="1"/>
  <c r="M3435" i="1"/>
  <c r="M3434" i="1"/>
  <c r="M3433" i="1"/>
  <c r="M3432" i="1"/>
  <c r="M3431" i="1"/>
  <c r="M3430" i="1"/>
  <c r="M3429" i="1"/>
  <c r="M3428" i="1"/>
  <c r="M3427" i="1"/>
  <c r="M3426" i="1"/>
  <c r="M3425" i="1"/>
  <c r="M3424" i="1"/>
  <c r="M3423" i="1"/>
  <c r="M3422" i="1"/>
  <c r="M3421" i="1"/>
  <c r="M3420" i="1"/>
  <c r="M3419" i="1"/>
  <c r="M3418" i="1"/>
  <c r="M3417" i="1"/>
  <c r="M3416" i="1"/>
  <c r="M3415" i="1"/>
  <c r="M3414" i="1"/>
  <c r="M3413" i="1"/>
  <c r="M3412" i="1"/>
  <c r="M3411" i="1"/>
  <c r="M3410" i="1"/>
  <c r="M3409" i="1"/>
  <c r="M3408" i="1"/>
  <c r="M3407" i="1"/>
  <c r="M3406" i="1"/>
  <c r="M3405" i="1"/>
  <c r="M3404" i="1"/>
  <c r="M3403" i="1"/>
  <c r="M3402" i="1"/>
  <c r="M3401" i="1"/>
  <c r="M3400" i="1"/>
  <c r="M3399" i="1"/>
  <c r="M3398" i="1"/>
  <c r="M3397" i="1"/>
  <c r="M3396" i="1"/>
  <c r="M3395" i="1"/>
  <c r="M3394" i="1"/>
  <c r="M3393" i="1"/>
  <c r="M3392" i="1"/>
  <c r="M3391" i="1"/>
  <c r="M3390" i="1"/>
  <c r="M3389" i="1"/>
  <c r="M3388" i="1"/>
  <c r="M3387" i="1"/>
  <c r="M3386" i="1"/>
  <c r="M3385" i="1"/>
  <c r="M3384" i="1"/>
  <c r="M3383" i="1"/>
  <c r="M3382" i="1"/>
  <c r="M3381" i="1"/>
  <c r="M3380" i="1"/>
  <c r="M3379" i="1"/>
  <c r="M3378" i="1"/>
  <c r="M3377" i="1"/>
  <c r="M3376" i="1"/>
  <c r="M3375" i="1"/>
  <c r="M3374" i="1"/>
  <c r="M3373" i="1"/>
  <c r="M3372" i="1"/>
  <c r="M3371" i="1"/>
  <c r="M3370" i="1"/>
  <c r="M3369" i="1"/>
  <c r="M3368" i="1"/>
  <c r="M3367" i="1"/>
  <c r="M3366" i="1"/>
  <c r="M3365" i="1"/>
  <c r="M3364" i="1"/>
  <c r="M3363" i="1"/>
  <c r="M3362" i="1"/>
  <c r="M3361" i="1"/>
  <c r="M3360" i="1"/>
  <c r="M3359" i="1"/>
  <c r="M3358" i="1"/>
  <c r="M3357" i="1"/>
  <c r="M3356" i="1"/>
  <c r="M3355" i="1"/>
  <c r="M3354" i="1"/>
  <c r="M3353" i="1"/>
  <c r="M3352" i="1"/>
  <c r="M3351" i="1"/>
  <c r="M3350" i="1"/>
  <c r="M3349" i="1"/>
  <c r="M3348" i="1"/>
  <c r="M3347" i="1"/>
  <c r="M3346" i="1"/>
  <c r="M3345" i="1"/>
  <c r="M3344" i="1"/>
  <c r="M3343" i="1"/>
  <c r="M3342" i="1"/>
  <c r="M3341" i="1"/>
  <c r="M3340" i="1"/>
  <c r="M3339" i="1"/>
  <c r="M3338" i="1"/>
  <c r="M3337" i="1"/>
  <c r="M3336" i="1"/>
  <c r="M3335" i="1"/>
  <c r="M3334" i="1"/>
  <c r="M3333" i="1"/>
  <c r="M3332" i="1"/>
  <c r="M3331" i="1"/>
  <c r="M3330" i="1"/>
  <c r="M3329" i="1"/>
  <c r="M3328" i="1"/>
  <c r="M3327" i="1"/>
  <c r="M3326" i="1"/>
  <c r="M3325" i="1"/>
  <c r="M3324" i="1"/>
  <c r="M3323" i="1"/>
  <c r="M3322" i="1"/>
  <c r="M3321" i="1"/>
  <c r="M3320" i="1"/>
  <c r="M3319" i="1"/>
  <c r="M3318" i="1"/>
  <c r="M3317" i="1"/>
  <c r="M3316" i="1"/>
  <c r="M3315" i="1"/>
  <c r="M3314" i="1"/>
  <c r="M3313" i="1"/>
  <c r="M3312" i="1"/>
  <c r="M3311" i="1"/>
  <c r="M3310" i="1"/>
  <c r="M3309" i="1"/>
  <c r="M3308" i="1"/>
  <c r="M3307" i="1"/>
  <c r="M3306" i="1"/>
  <c r="M3305" i="1"/>
  <c r="M3304" i="1"/>
  <c r="M3303" i="1"/>
  <c r="M3302" i="1"/>
  <c r="M3301" i="1"/>
  <c r="M3300" i="1"/>
  <c r="M3299" i="1"/>
  <c r="M3298" i="1"/>
  <c r="M3297" i="1"/>
  <c r="M3296" i="1"/>
  <c r="M3295" i="1"/>
  <c r="M3294" i="1"/>
  <c r="M3293" i="1"/>
  <c r="M3292" i="1"/>
  <c r="M3291" i="1"/>
  <c r="M3290" i="1"/>
  <c r="M3289" i="1"/>
  <c r="M3288" i="1"/>
  <c r="M3287" i="1"/>
  <c r="M3286" i="1"/>
  <c r="M3285" i="1"/>
  <c r="M3284" i="1"/>
  <c r="M3283" i="1"/>
  <c r="M3282" i="1"/>
  <c r="M3281" i="1"/>
  <c r="M3280" i="1"/>
  <c r="M3279" i="1"/>
  <c r="M3278" i="1"/>
  <c r="M3277" i="1"/>
  <c r="M3276" i="1"/>
  <c r="M3275" i="1"/>
  <c r="M3274" i="1"/>
  <c r="M3273" i="1"/>
  <c r="M3272" i="1"/>
  <c r="M3271" i="1"/>
  <c r="M3270" i="1"/>
  <c r="M3269" i="1"/>
  <c r="M3268" i="1"/>
  <c r="M3267" i="1"/>
  <c r="M3266" i="1"/>
  <c r="M3265" i="1"/>
  <c r="M3264" i="1"/>
  <c r="M3263" i="1"/>
  <c r="M3262" i="1"/>
  <c r="M3261" i="1"/>
  <c r="M3260" i="1"/>
  <c r="M3259" i="1"/>
  <c r="M3258" i="1"/>
  <c r="M3257" i="1"/>
  <c r="M3256" i="1"/>
  <c r="M3255" i="1"/>
  <c r="M3254" i="1"/>
  <c r="M3253" i="1"/>
  <c r="M3252" i="1"/>
  <c r="M3251" i="1"/>
  <c r="M3250" i="1"/>
  <c r="M3249" i="1"/>
  <c r="M3248" i="1"/>
  <c r="M3247" i="1"/>
  <c r="M3246" i="1"/>
  <c r="M3245" i="1"/>
  <c r="M3244" i="1"/>
  <c r="M3243" i="1"/>
  <c r="M3242" i="1"/>
  <c r="M3241" i="1"/>
  <c r="M3240" i="1"/>
  <c r="M3239" i="1"/>
  <c r="M3238" i="1"/>
  <c r="M3237" i="1"/>
  <c r="M3236" i="1"/>
  <c r="M3235" i="1"/>
  <c r="M3234" i="1"/>
  <c r="M3233" i="1"/>
  <c r="M3232" i="1"/>
  <c r="M3231" i="1"/>
  <c r="M3230" i="1"/>
  <c r="M3229" i="1"/>
  <c r="M3228" i="1"/>
  <c r="M3227" i="1"/>
  <c r="M3226" i="1"/>
  <c r="M3225" i="1"/>
  <c r="M3224" i="1"/>
  <c r="M3223" i="1"/>
  <c r="M3222" i="1"/>
  <c r="M3221" i="1"/>
  <c r="M3220" i="1"/>
  <c r="M3219" i="1"/>
  <c r="M3218" i="1"/>
  <c r="M3217" i="1"/>
  <c r="M3216" i="1"/>
  <c r="M3215" i="1"/>
  <c r="M3214" i="1"/>
  <c r="M3213" i="1"/>
  <c r="M3212" i="1"/>
  <c r="M3211" i="1"/>
  <c r="M3210" i="1"/>
  <c r="M3209" i="1"/>
  <c r="M3208" i="1"/>
  <c r="M3207" i="1"/>
  <c r="M3206" i="1"/>
  <c r="M3205" i="1"/>
  <c r="M3204" i="1"/>
  <c r="M3203" i="1"/>
  <c r="M3202" i="1"/>
  <c r="M3201" i="1"/>
  <c r="M3200" i="1"/>
  <c r="M3199" i="1"/>
  <c r="M3198" i="1"/>
  <c r="M3197" i="1"/>
  <c r="M3196" i="1"/>
  <c r="M3195" i="1"/>
  <c r="M3194" i="1"/>
  <c r="M3193" i="1"/>
  <c r="M3192" i="1"/>
  <c r="M3191" i="1"/>
  <c r="M3190" i="1"/>
  <c r="M3189" i="1"/>
  <c r="M3188" i="1"/>
  <c r="M3187" i="1"/>
  <c r="M3186" i="1"/>
  <c r="M3185" i="1"/>
  <c r="M3184" i="1"/>
  <c r="M3183" i="1"/>
  <c r="M3182" i="1"/>
  <c r="M3181" i="1"/>
  <c r="M3180" i="1"/>
  <c r="M3179" i="1"/>
  <c r="M3178" i="1"/>
  <c r="M3177" i="1"/>
  <c r="M3176" i="1"/>
  <c r="M3175" i="1"/>
  <c r="M3174" i="1"/>
  <c r="M3173" i="1"/>
  <c r="M3172" i="1"/>
  <c r="M3171" i="1"/>
  <c r="M3170" i="1"/>
  <c r="M3169" i="1"/>
  <c r="M3168" i="1"/>
  <c r="M3167" i="1"/>
  <c r="M3166" i="1"/>
  <c r="M3165" i="1"/>
  <c r="M3164" i="1"/>
  <c r="M3163" i="1"/>
  <c r="M3162" i="1"/>
  <c r="M3161" i="1"/>
  <c r="M3160" i="1"/>
  <c r="M3159" i="1"/>
  <c r="M3158" i="1"/>
  <c r="M3157" i="1"/>
  <c r="M3156" i="1"/>
  <c r="M3155" i="1"/>
  <c r="M3154" i="1"/>
  <c r="M3153" i="1"/>
  <c r="M3152" i="1"/>
  <c r="M3151" i="1"/>
  <c r="M3150" i="1"/>
  <c r="M3149" i="1"/>
  <c r="M3148" i="1"/>
  <c r="M3147" i="1"/>
  <c r="M3146" i="1"/>
  <c r="M3145" i="1"/>
  <c r="M3144" i="1"/>
  <c r="M3143" i="1"/>
  <c r="M3142" i="1"/>
  <c r="M3141" i="1"/>
  <c r="M3140" i="1"/>
  <c r="M3139" i="1"/>
  <c r="M3138" i="1"/>
  <c r="M3137" i="1"/>
  <c r="M3136" i="1"/>
  <c r="M3135" i="1"/>
  <c r="M3134" i="1"/>
  <c r="M3133" i="1"/>
  <c r="M3132" i="1"/>
  <c r="M3131" i="1"/>
  <c r="M3130" i="1"/>
  <c r="M3129" i="1"/>
  <c r="M3128" i="1"/>
  <c r="M3127" i="1"/>
  <c r="M3126" i="1"/>
  <c r="M3125" i="1"/>
  <c r="M3124" i="1"/>
  <c r="M3123" i="1"/>
  <c r="M3122" i="1"/>
  <c r="M3121" i="1"/>
  <c r="M3120" i="1"/>
  <c r="M3119" i="1"/>
  <c r="M3118" i="1"/>
  <c r="M3117" i="1"/>
  <c r="M3116" i="1"/>
  <c r="M3115" i="1"/>
  <c r="M3114" i="1"/>
  <c r="M3113" i="1"/>
  <c r="M3112" i="1"/>
  <c r="M3111" i="1"/>
  <c r="M3110" i="1"/>
  <c r="M3109" i="1"/>
  <c r="M3108" i="1"/>
  <c r="M3107" i="1"/>
  <c r="M3106" i="1"/>
  <c r="M3105" i="1"/>
  <c r="M3104" i="1"/>
  <c r="M3103" i="1"/>
  <c r="M3102" i="1"/>
  <c r="M3101" i="1"/>
  <c r="M3100" i="1"/>
  <c r="M3099" i="1"/>
  <c r="M3098" i="1"/>
  <c r="M3097" i="1"/>
  <c r="M3096" i="1"/>
  <c r="M3095" i="1"/>
  <c r="M3094" i="1"/>
  <c r="M3093" i="1"/>
  <c r="M3092" i="1"/>
  <c r="M3091" i="1"/>
  <c r="M3090" i="1"/>
  <c r="M3089" i="1"/>
  <c r="M3088" i="1"/>
  <c r="M3087" i="1"/>
  <c r="M3086" i="1"/>
  <c r="M3085" i="1"/>
  <c r="M3084" i="1"/>
  <c r="M3083" i="1"/>
  <c r="M3082" i="1"/>
  <c r="M3081" i="1"/>
  <c r="M3080" i="1"/>
  <c r="M3079" i="1"/>
  <c r="M3078" i="1"/>
  <c r="M3077" i="1"/>
  <c r="M3076" i="1"/>
  <c r="M3075" i="1"/>
  <c r="M3074" i="1"/>
  <c r="M3073" i="1"/>
  <c r="M3072" i="1"/>
  <c r="M3071" i="1"/>
  <c r="M3070" i="1"/>
  <c r="M3069" i="1"/>
  <c r="M3068" i="1"/>
  <c r="M3067" i="1"/>
  <c r="M3066" i="1"/>
  <c r="M3065" i="1"/>
  <c r="M3064" i="1"/>
  <c r="M3063" i="1"/>
  <c r="M3062" i="1"/>
  <c r="M3061" i="1"/>
  <c r="M3060" i="1"/>
  <c r="M3059" i="1"/>
  <c r="M3058" i="1"/>
  <c r="M3057" i="1"/>
  <c r="M3056" i="1"/>
  <c r="M3055" i="1"/>
  <c r="M3054" i="1"/>
  <c r="M3053" i="1"/>
  <c r="M3052" i="1"/>
  <c r="M3051" i="1"/>
  <c r="M3050" i="1"/>
  <c r="M3049" i="1"/>
  <c r="M3048" i="1"/>
  <c r="M3047" i="1"/>
  <c r="M3046" i="1"/>
  <c r="M3045" i="1"/>
  <c r="M3044" i="1"/>
  <c r="M3043" i="1"/>
  <c r="M3042" i="1"/>
  <c r="M3041" i="1"/>
  <c r="M3040" i="1"/>
  <c r="M3039" i="1"/>
  <c r="M3038" i="1"/>
  <c r="M3037" i="1"/>
  <c r="M3036" i="1"/>
  <c r="M3035" i="1"/>
  <c r="M3034" i="1"/>
  <c r="M3033" i="1"/>
  <c r="M3032" i="1"/>
  <c r="M3031" i="1"/>
  <c r="M3030" i="1"/>
  <c r="M3029" i="1"/>
  <c r="M3028" i="1"/>
  <c r="M3027" i="1"/>
  <c r="M3026" i="1"/>
  <c r="M3025" i="1"/>
  <c r="M3024" i="1"/>
  <c r="M3023" i="1"/>
  <c r="M3022" i="1"/>
  <c r="M3021" i="1"/>
  <c r="M3020" i="1"/>
  <c r="M3019" i="1"/>
  <c r="M3018" i="1"/>
  <c r="M3017" i="1"/>
  <c r="M3016" i="1"/>
  <c r="M3015" i="1"/>
  <c r="M3014" i="1"/>
  <c r="M3013" i="1"/>
  <c r="M3012" i="1"/>
  <c r="M3011" i="1"/>
  <c r="M3010" i="1"/>
  <c r="M3009" i="1"/>
  <c r="M3008" i="1"/>
  <c r="M3007" i="1"/>
  <c r="M3006" i="1"/>
  <c r="M3005" i="1"/>
  <c r="M3004" i="1"/>
  <c r="M3003" i="1"/>
  <c r="M3002" i="1"/>
  <c r="M3001" i="1"/>
  <c r="M3000" i="1"/>
  <c r="M2999" i="1"/>
  <c r="M2998" i="1"/>
  <c r="M2997" i="1"/>
  <c r="M2996" i="1"/>
  <c r="M2995" i="1"/>
  <c r="M2994" i="1"/>
  <c r="M2993" i="1"/>
  <c r="M2992" i="1"/>
  <c r="M2991" i="1"/>
  <c r="M2990" i="1"/>
  <c r="M2989" i="1"/>
  <c r="M2988" i="1"/>
  <c r="M2987" i="1"/>
  <c r="M2986" i="1"/>
  <c r="M2985" i="1"/>
  <c r="M2984" i="1"/>
  <c r="M2983" i="1"/>
  <c r="M2982" i="1"/>
  <c r="M2981" i="1"/>
  <c r="M2980" i="1"/>
  <c r="M2979" i="1"/>
  <c r="M2978" i="1"/>
  <c r="M2977" i="1"/>
  <c r="M2976" i="1"/>
  <c r="M2975" i="1"/>
  <c r="M2974" i="1"/>
  <c r="M2973" i="1"/>
  <c r="M2972" i="1"/>
  <c r="M2971" i="1"/>
  <c r="M2970" i="1"/>
  <c r="M2969" i="1"/>
  <c r="M2968" i="1"/>
  <c r="M2967" i="1"/>
  <c r="M2966" i="1"/>
  <c r="M2965" i="1"/>
  <c r="M2964" i="1"/>
  <c r="M2963" i="1"/>
  <c r="M2962" i="1"/>
  <c r="M2961" i="1"/>
  <c r="M2960" i="1"/>
  <c r="M2959" i="1"/>
  <c r="M2958" i="1"/>
  <c r="M2957" i="1"/>
  <c r="M2956" i="1"/>
  <c r="M2955" i="1"/>
  <c r="M2954" i="1"/>
  <c r="M2953" i="1"/>
  <c r="M2952" i="1"/>
  <c r="M2951" i="1"/>
  <c r="M2950" i="1"/>
  <c r="M2949" i="1"/>
  <c r="M2948" i="1"/>
  <c r="M2947" i="1"/>
  <c r="M2946" i="1"/>
  <c r="M2945" i="1"/>
  <c r="M2944" i="1"/>
  <c r="M2943" i="1"/>
  <c r="M2942" i="1"/>
  <c r="M2941" i="1"/>
  <c r="M2940" i="1"/>
  <c r="M2939" i="1"/>
  <c r="M2938" i="1"/>
  <c r="M2937" i="1"/>
  <c r="M2936" i="1"/>
  <c r="M2935" i="1"/>
  <c r="M2934" i="1"/>
  <c r="M2933" i="1"/>
  <c r="M2932" i="1"/>
  <c r="M2931" i="1"/>
  <c r="M2930" i="1"/>
  <c r="M2929" i="1"/>
  <c r="M2928" i="1"/>
  <c r="M2927" i="1"/>
  <c r="M2926" i="1"/>
  <c r="M2925" i="1"/>
  <c r="M2924" i="1"/>
  <c r="M2923" i="1"/>
  <c r="M2922" i="1"/>
  <c r="M2921" i="1"/>
  <c r="M2920" i="1"/>
  <c r="M2919" i="1"/>
  <c r="M2918" i="1"/>
  <c r="M2917" i="1"/>
  <c r="M2916" i="1"/>
  <c r="M2915" i="1"/>
  <c r="M2914" i="1"/>
  <c r="M2913" i="1"/>
  <c r="M2912" i="1"/>
  <c r="M2911" i="1"/>
  <c r="M2910" i="1"/>
  <c r="M2909" i="1"/>
  <c r="M2908" i="1"/>
  <c r="M2907" i="1"/>
  <c r="M2906" i="1"/>
  <c r="M2905" i="1"/>
  <c r="M2904" i="1"/>
  <c r="M2903" i="1"/>
  <c r="M2902" i="1"/>
  <c r="M2901" i="1"/>
  <c r="M2900" i="1"/>
  <c r="M2899" i="1"/>
  <c r="M2898" i="1"/>
  <c r="M2897" i="1"/>
  <c r="M2896" i="1"/>
  <c r="M2895" i="1"/>
  <c r="M2894" i="1"/>
  <c r="M2893" i="1"/>
  <c r="M2892" i="1"/>
  <c r="M2891" i="1"/>
  <c r="M2890" i="1"/>
  <c r="M2889" i="1"/>
  <c r="M2888" i="1"/>
  <c r="M2887" i="1"/>
  <c r="M2886" i="1"/>
  <c r="M2885" i="1"/>
  <c r="M2884" i="1"/>
  <c r="M2883" i="1"/>
  <c r="M2882" i="1"/>
  <c r="M2881" i="1"/>
  <c r="M2880" i="1"/>
  <c r="M2879" i="1"/>
  <c r="M2878" i="1"/>
  <c r="M2877" i="1"/>
  <c r="M2876" i="1"/>
  <c r="M2875" i="1"/>
  <c r="M2874" i="1"/>
  <c r="M2873" i="1"/>
  <c r="M2872" i="1"/>
  <c r="M2871" i="1"/>
  <c r="M2870" i="1"/>
  <c r="M2869" i="1"/>
  <c r="M2868" i="1"/>
  <c r="M2867" i="1"/>
  <c r="M2866" i="1"/>
  <c r="M2865" i="1"/>
  <c r="M2864" i="1"/>
  <c r="M2863" i="1"/>
  <c r="M2862" i="1"/>
  <c r="M2861" i="1"/>
  <c r="M2860" i="1"/>
  <c r="M2859" i="1"/>
  <c r="M2858" i="1"/>
  <c r="M2857" i="1"/>
  <c r="M2856" i="1"/>
  <c r="M2855" i="1"/>
  <c r="M2854" i="1"/>
  <c r="M2853" i="1"/>
  <c r="M2852" i="1"/>
  <c r="M2851" i="1"/>
  <c r="M2850" i="1"/>
  <c r="M2849" i="1"/>
  <c r="M2848" i="1"/>
  <c r="M2847" i="1"/>
  <c r="M2846" i="1"/>
  <c r="M2845" i="1"/>
  <c r="M2844" i="1"/>
  <c r="M2843" i="1"/>
  <c r="M2842" i="1"/>
  <c r="M2841" i="1"/>
  <c r="M2840" i="1"/>
  <c r="M2839" i="1"/>
  <c r="M2838" i="1"/>
  <c r="M2837" i="1"/>
  <c r="M2836" i="1"/>
  <c r="M2835" i="1"/>
  <c r="M2834" i="1"/>
  <c r="M2833" i="1"/>
  <c r="M2832" i="1"/>
  <c r="M2831" i="1"/>
  <c r="M2830" i="1"/>
  <c r="M2829" i="1"/>
  <c r="M2828" i="1"/>
  <c r="M2827" i="1"/>
  <c r="M2826" i="1"/>
  <c r="M2825" i="1"/>
  <c r="M2824" i="1"/>
  <c r="M2823" i="1"/>
  <c r="M2822" i="1"/>
  <c r="M2821" i="1"/>
  <c r="M2820" i="1"/>
  <c r="M2819" i="1"/>
  <c r="M2818" i="1"/>
  <c r="M2817" i="1"/>
  <c r="M2816" i="1"/>
  <c r="M2815" i="1"/>
  <c r="M2814" i="1"/>
  <c r="M2813" i="1"/>
  <c r="M2812" i="1"/>
  <c r="M2811" i="1"/>
  <c r="M2810" i="1"/>
  <c r="M2809" i="1"/>
  <c r="M2808" i="1"/>
  <c r="M2807" i="1"/>
  <c r="M2806" i="1"/>
  <c r="M2805" i="1"/>
  <c r="M2804" i="1"/>
  <c r="M2803" i="1"/>
  <c r="M2802" i="1"/>
  <c r="M2801" i="1"/>
  <c r="M2800" i="1"/>
  <c r="M2799" i="1"/>
  <c r="M2798" i="1"/>
  <c r="M2797" i="1"/>
  <c r="M2796" i="1"/>
  <c r="M2795" i="1"/>
  <c r="M2794" i="1"/>
  <c r="M2793" i="1"/>
  <c r="M2792" i="1"/>
  <c r="M2791" i="1"/>
  <c r="M2790" i="1"/>
  <c r="M2789" i="1"/>
  <c r="M2788" i="1"/>
  <c r="M2787" i="1"/>
  <c r="M2786" i="1"/>
  <c r="M2785" i="1"/>
  <c r="M2784" i="1"/>
  <c r="M2783" i="1"/>
  <c r="M2782" i="1"/>
  <c r="M2781" i="1"/>
  <c r="M2780" i="1"/>
  <c r="M2779" i="1"/>
  <c r="M2778" i="1"/>
  <c r="M2777" i="1"/>
  <c r="M2776" i="1"/>
  <c r="M2775" i="1"/>
  <c r="M2774" i="1"/>
  <c r="M2773" i="1"/>
  <c r="M2772" i="1"/>
  <c r="M2771" i="1"/>
  <c r="M2770" i="1"/>
  <c r="M2769" i="1"/>
  <c r="M2768" i="1"/>
  <c r="M2767" i="1"/>
  <c r="M2766" i="1"/>
  <c r="M2765" i="1"/>
  <c r="M2764" i="1"/>
  <c r="M2763" i="1"/>
  <c r="M2762" i="1"/>
  <c r="M2761" i="1"/>
  <c r="M2760" i="1"/>
  <c r="M2759" i="1"/>
  <c r="M2758" i="1"/>
  <c r="M2757" i="1"/>
  <c r="M2756" i="1"/>
  <c r="M2755" i="1"/>
  <c r="M2754" i="1"/>
  <c r="M2753" i="1"/>
  <c r="M2752" i="1"/>
  <c r="M2751" i="1"/>
  <c r="M2750" i="1"/>
  <c r="M2749" i="1"/>
  <c r="M2748" i="1"/>
  <c r="M2747" i="1"/>
  <c r="M2746" i="1"/>
  <c r="M2745" i="1"/>
  <c r="M2744" i="1"/>
  <c r="M2743" i="1"/>
  <c r="M2742" i="1"/>
  <c r="M2741" i="1"/>
  <c r="M2740" i="1"/>
  <c r="M2739" i="1"/>
  <c r="M2738" i="1"/>
  <c r="M2737" i="1"/>
  <c r="M2736" i="1"/>
  <c r="M2735" i="1"/>
  <c r="M2734" i="1"/>
  <c r="M2733" i="1"/>
  <c r="M2732" i="1"/>
  <c r="M2731" i="1"/>
  <c r="M2730" i="1"/>
  <c r="M2729" i="1"/>
  <c r="M2728" i="1"/>
  <c r="M2727" i="1"/>
  <c r="M2726" i="1"/>
  <c r="M2725" i="1"/>
  <c r="M2724" i="1"/>
  <c r="M2723" i="1"/>
  <c r="M2722" i="1"/>
  <c r="M2721" i="1"/>
  <c r="M2720" i="1"/>
  <c r="M2719" i="1"/>
  <c r="M2718" i="1"/>
  <c r="M2717" i="1"/>
  <c r="M2716" i="1"/>
  <c r="M2715" i="1"/>
  <c r="M2714" i="1"/>
  <c r="M2713" i="1"/>
  <c r="M2712" i="1"/>
  <c r="M2711" i="1"/>
  <c r="M2710" i="1"/>
  <c r="M2709" i="1"/>
  <c r="M2708" i="1"/>
  <c r="M2707" i="1"/>
  <c r="M2706" i="1"/>
  <c r="M2705" i="1"/>
  <c r="M2704" i="1"/>
  <c r="M2703" i="1"/>
  <c r="M2702" i="1"/>
  <c r="M2701" i="1"/>
  <c r="M2700" i="1"/>
  <c r="M2699" i="1"/>
  <c r="M2698" i="1"/>
  <c r="M2697" i="1"/>
  <c r="M2696" i="1"/>
  <c r="M2695" i="1"/>
  <c r="M2694" i="1"/>
  <c r="M2693" i="1"/>
  <c r="M2692" i="1"/>
  <c r="M2691" i="1"/>
  <c r="M2690" i="1"/>
  <c r="M2689" i="1"/>
  <c r="M2688" i="1"/>
  <c r="M2687" i="1"/>
  <c r="M2686" i="1"/>
  <c r="M2685" i="1"/>
  <c r="M2684" i="1"/>
  <c r="M2683" i="1"/>
  <c r="M2682" i="1"/>
  <c r="M2681" i="1"/>
  <c r="M2680" i="1"/>
  <c r="M2679" i="1"/>
  <c r="M2678" i="1"/>
  <c r="M2677" i="1"/>
  <c r="M2676" i="1"/>
  <c r="M2675" i="1"/>
  <c r="M2674" i="1"/>
  <c r="M2673" i="1"/>
  <c r="M2672" i="1"/>
  <c r="M2671" i="1"/>
  <c r="M2670" i="1"/>
  <c r="M2669" i="1"/>
  <c r="M2668" i="1"/>
  <c r="M2667" i="1"/>
  <c r="M2666" i="1"/>
  <c r="M2665" i="1"/>
  <c r="M2664" i="1"/>
  <c r="M2663" i="1"/>
  <c r="M2662" i="1"/>
  <c r="M2661" i="1"/>
  <c r="M2660" i="1"/>
  <c r="M2659" i="1"/>
  <c r="M2658" i="1"/>
  <c r="M2657" i="1"/>
  <c r="M2656" i="1"/>
  <c r="M2655" i="1"/>
  <c r="M2654" i="1"/>
  <c r="M2653" i="1"/>
  <c r="M2652" i="1"/>
  <c r="M2651" i="1"/>
  <c r="M2650" i="1"/>
  <c r="M2649" i="1"/>
  <c r="M2648" i="1"/>
  <c r="M2647" i="1"/>
  <c r="M2646" i="1"/>
  <c r="M2645" i="1"/>
  <c r="M2644" i="1"/>
  <c r="M2643" i="1"/>
  <c r="M2642" i="1"/>
  <c r="M2641" i="1"/>
  <c r="M2640" i="1"/>
  <c r="M2639" i="1"/>
  <c r="M2638" i="1"/>
  <c r="M2637" i="1"/>
  <c r="M2636" i="1"/>
  <c r="M2635" i="1"/>
  <c r="M2634" i="1"/>
  <c r="M2633" i="1"/>
  <c r="M2632" i="1"/>
  <c r="M2631" i="1"/>
  <c r="M2630" i="1"/>
  <c r="M2629" i="1"/>
  <c r="M2628" i="1"/>
  <c r="M2627" i="1"/>
  <c r="M2626" i="1"/>
  <c r="M2625" i="1"/>
  <c r="M2624" i="1"/>
  <c r="M2623" i="1"/>
  <c r="M2622" i="1"/>
  <c r="M2621" i="1"/>
  <c r="M2620" i="1"/>
  <c r="M2619" i="1"/>
  <c r="M2618" i="1"/>
  <c r="M2617" i="1"/>
  <c r="M2616" i="1"/>
  <c r="M2615" i="1"/>
  <c r="M2614" i="1"/>
  <c r="M2613" i="1"/>
  <c r="M2612" i="1"/>
  <c r="M2611" i="1"/>
  <c r="M2610" i="1"/>
  <c r="M2609" i="1"/>
  <c r="M2608" i="1"/>
  <c r="M2607" i="1"/>
  <c r="M2606" i="1"/>
  <c r="M2605" i="1"/>
  <c r="M2604" i="1"/>
  <c r="M2603" i="1"/>
  <c r="M2602" i="1"/>
  <c r="M2601" i="1"/>
  <c r="M2600" i="1"/>
  <c r="M2599" i="1"/>
  <c r="M2598" i="1"/>
  <c r="M2597" i="1"/>
  <c r="M2596" i="1"/>
  <c r="M2595" i="1"/>
  <c r="M2594" i="1"/>
  <c r="M2593" i="1"/>
  <c r="M2592" i="1"/>
  <c r="M2591" i="1"/>
  <c r="M2590" i="1"/>
  <c r="M2589" i="1"/>
  <c r="M2588" i="1"/>
  <c r="M2587" i="1"/>
  <c r="M2586" i="1"/>
  <c r="M2585" i="1"/>
  <c r="M2584" i="1"/>
  <c r="M2583" i="1"/>
  <c r="M2582" i="1"/>
  <c r="M2581" i="1"/>
  <c r="M2580" i="1"/>
  <c r="M2579" i="1"/>
  <c r="M2578" i="1"/>
  <c r="M2577" i="1"/>
  <c r="M2576" i="1"/>
  <c r="M2575" i="1"/>
  <c r="M2574" i="1"/>
  <c r="M2573" i="1"/>
  <c r="M2572" i="1"/>
  <c r="M2571" i="1"/>
  <c r="M2570" i="1"/>
  <c r="M2569" i="1"/>
  <c r="M2568" i="1"/>
  <c r="M2567" i="1"/>
  <c r="M2566" i="1"/>
  <c r="M2565" i="1"/>
  <c r="M2564" i="1"/>
  <c r="M2563" i="1"/>
  <c r="M2562" i="1"/>
  <c r="M2561" i="1"/>
  <c r="M2560" i="1"/>
  <c r="M2559" i="1"/>
  <c r="M2558" i="1"/>
  <c r="M2557" i="1"/>
  <c r="M2556" i="1"/>
  <c r="M2555" i="1"/>
  <c r="M2554" i="1"/>
  <c r="M2553" i="1"/>
  <c r="M2552" i="1"/>
  <c r="M2551" i="1"/>
  <c r="M2550" i="1"/>
  <c r="M2549" i="1"/>
  <c r="M2548" i="1"/>
  <c r="M2547" i="1"/>
  <c r="M2546" i="1"/>
  <c r="M2545" i="1"/>
  <c r="M2544" i="1"/>
  <c r="M2543" i="1"/>
  <c r="M2542" i="1"/>
  <c r="M2541" i="1"/>
  <c r="M2540" i="1"/>
  <c r="M2539" i="1"/>
  <c r="M2538" i="1"/>
  <c r="M2537" i="1"/>
  <c r="M2536" i="1"/>
  <c r="M2535" i="1"/>
  <c r="M2534" i="1"/>
  <c r="M2533" i="1"/>
  <c r="M2532" i="1"/>
  <c r="M2531" i="1"/>
  <c r="M2530" i="1"/>
  <c r="M2529" i="1"/>
  <c r="M2528" i="1"/>
  <c r="M2527" i="1"/>
  <c r="M2526" i="1"/>
  <c r="M2525" i="1"/>
  <c r="M2524" i="1"/>
  <c r="M2523" i="1"/>
  <c r="M2522" i="1"/>
  <c r="M2521" i="1"/>
  <c r="M2520" i="1"/>
  <c r="M2519" i="1"/>
  <c r="M2518" i="1"/>
  <c r="M2517" i="1"/>
  <c r="M2516" i="1"/>
  <c r="M2515" i="1"/>
  <c r="M2514" i="1"/>
  <c r="M2513" i="1"/>
  <c r="M2512" i="1"/>
  <c r="M2511" i="1"/>
  <c r="M2510" i="1"/>
  <c r="M2509" i="1"/>
  <c r="M2508" i="1"/>
  <c r="M2507" i="1"/>
  <c r="M2506" i="1"/>
  <c r="M2505" i="1"/>
  <c r="M2504" i="1"/>
  <c r="M2503" i="1"/>
  <c r="M2502" i="1"/>
  <c r="M2501" i="1"/>
  <c r="M2500" i="1"/>
  <c r="M2499" i="1"/>
  <c r="M2498" i="1"/>
  <c r="M2497" i="1"/>
  <c r="M2496" i="1"/>
  <c r="M2495" i="1"/>
  <c r="M2494" i="1"/>
  <c r="M2493" i="1"/>
  <c r="M2492" i="1"/>
  <c r="M2491" i="1"/>
  <c r="M2490" i="1"/>
  <c r="M2489" i="1"/>
  <c r="M2488" i="1"/>
  <c r="M2487" i="1"/>
  <c r="M2486" i="1"/>
  <c r="M2485" i="1"/>
  <c r="M2484" i="1"/>
  <c r="M2483" i="1"/>
  <c r="M2482" i="1"/>
  <c r="M2481" i="1"/>
  <c r="M2480" i="1"/>
  <c r="M2479" i="1"/>
  <c r="M2478" i="1"/>
  <c r="M2477" i="1"/>
  <c r="M2476" i="1"/>
  <c r="M2475" i="1"/>
  <c r="M2474" i="1"/>
  <c r="M2473" i="1"/>
  <c r="M2472" i="1"/>
  <c r="M2471" i="1"/>
  <c r="M2470" i="1"/>
  <c r="M2469" i="1"/>
  <c r="M2468" i="1"/>
  <c r="M2467" i="1"/>
  <c r="M2466" i="1"/>
  <c r="M2465" i="1"/>
  <c r="M2464" i="1"/>
  <c r="M2463" i="1"/>
  <c r="M2462" i="1"/>
  <c r="M2461" i="1"/>
  <c r="M2460" i="1"/>
  <c r="M2459" i="1"/>
  <c r="M2458" i="1"/>
  <c r="M2457" i="1"/>
  <c r="M2456" i="1"/>
  <c r="M2455" i="1"/>
  <c r="M2454" i="1"/>
  <c r="M2453" i="1"/>
  <c r="M2452" i="1"/>
  <c r="M2451" i="1"/>
  <c r="M2450" i="1"/>
  <c r="M2449" i="1"/>
  <c r="M2448" i="1"/>
  <c r="M2447" i="1"/>
  <c r="M2446" i="1"/>
  <c r="M2445" i="1"/>
  <c r="M2444" i="1"/>
  <c r="M2443" i="1"/>
  <c r="M2442" i="1"/>
  <c r="M2441" i="1"/>
  <c r="M2440" i="1"/>
  <c r="M2439" i="1"/>
  <c r="M2438" i="1"/>
  <c r="M2437" i="1"/>
  <c r="M2436" i="1"/>
  <c r="M2435" i="1"/>
  <c r="M2434" i="1"/>
  <c r="M2433" i="1"/>
  <c r="M2432" i="1"/>
  <c r="M2431" i="1"/>
  <c r="M2430" i="1"/>
  <c r="M2429" i="1"/>
  <c r="M2428" i="1"/>
  <c r="M2427" i="1"/>
  <c r="M2426" i="1"/>
  <c r="M2425" i="1"/>
  <c r="M2424" i="1"/>
  <c r="M2423" i="1"/>
  <c r="M2422" i="1"/>
  <c r="M2421" i="1"/>
  <c r="M2420" i="1"/>
  <c r="M2419" i="1"/>
  <c r="M2418" i="1"/>
  <c r="M2417" i="1"/>
  <c r="M2416" i="1"/>
  <c r="M2415" i="1"/>
  <c r="M2414" i="1"/>
  <c r="M2413" i="1"/>
  <c r="M2412" i="1"/>
  <c r="M2411" i="1"/>
  <c r="M2410" i="1"/>
  <c r="M2409" i="1"/>
  <c r="M2408" i="1"/>
  <c r="M2407" i="1"/>
  <c r="M2406" i="1"/>
  <c r="M2405" i="1"/>
  <c r="M2404" i="1"/>
  <c r="M2403" i="1"/>
  <c r="M2402" i="1"/>
  <c r="M2401" i="1"/>
  <c r="M2400" i="1"/>
  <c r="M2399" i="1"/>
  <c r="M2398" i="1"/>
  <c r="M2397" i="1"/>
  <c r="M2396" i="1"/>
  <c r="M2395" i="1"/>
  <c r="M2394" i="1"/>
  <c r="M2393" i="1"/>
  <c r="M2392" i="1"/>
  <c r="M2391" i="1"/>
  <c r="M2390" i="1"/>
  <c r="M2389" i="1"/>
  <c r="M2388" i="1"/>
  <c r="M2387" i="1"/>
  <c r="M2386" i="1"/>
  <c r="M2385" i="1"/>
  <c r="M2384" i="1"/>
  <c r="M2383" i="1"/>
  <c r="M2382" i="1"/>
  <c r="M2381" i="1"/>
  <c r="M2380" i="1"/>
  <c r="M2379" i="1"/>
  <c r="M2378" i="1"/>
  <c r="M2377" i="1"/>
  <c r="M2376" i="1"/>
  <c r="M2375" i="1"/>
  <c r="M2374" i="1"/>
  <c r="M2373" i="1"/>
  <c r="M2372" i="1"/>
  <c r="M2371" i="1"/>
  <c r="M2370" i="1"/>
  <c r="M2369" i="1"/>
  <c r="M2368" i="1"/>
  <c r="M2367" i="1"/>
  <c r="M2366" i="1"/>
  <c r="M2365" i="1"/>
  <c r="M2364" i="1"/>
  <c r="M2363" i="1"/>
  <c r="M2362" i="1"/>
  <c r="M2361" i="1"/>
  <c r="M2360" i="1"/>
  <c r="M2359" i="1"/>
  <c r="M2358" i="1"/>
  <c r="M2357" i="1"/>
  <c r="M2356" i="1"/>
  <c r="M2355" i="1"/>
  <c r="M2354" i="1"/>
  <c r="M2353" i="1"/>
  <c r="M2352" i="1"/>
  <c r="M2351" i="1"/>
  <c r="M2350" i="1"/>
  <c r="M2349" i="1"/>
  <c r="M2348" i="1"/>
  <c r="M2347" i="1"/>
  <c r="M2346" i="1"/>
  <c r="M2345" i="1"/>
  <c r="M2344" i="1"/>
  <c r="M2343" i="1"/>
  <c r="M2342" i="1"/>
  <c r="M2341" i="1"/>
  <c r="M2340" i="1"/>
  <c r="M2339" i="1"/>
  <c r="M2338" i="1"/>
  <c r="M2337" i="1"/>
  <c r="M2336" i="1"/>
  <c r="M2335" i="1"/>
  <c r="M2334" i="1"/>
  <c r="M2333" i="1"/>
  <c r="M2332" i="1"/>
  <c r="M2331" i="1"/>
  <c r="M2330" i="1"/>
  <c r="M2329" i="1"/>
  <c r="M2328" i="1"/>
  <c r="M2327" i="1"/>
  <c r="M2326" i="1"/>
  <c r="M2325" i="1"/>
  <c r="M2324" i="1"/>
  <c r="M2323" i="1"/>
  <c r="M2322" i="1"/>
  <c r="M2321" i="1"/>
  <c r="M2320" i="1"/>
  <c r="M2319" i="1"/>
  <c r="M2318" i="1"/>
  <c r="M2317" i="1"/>
  <c r="M2316" i="1"/>
  <c r="M2315" i="1"/>
  <c r="M2314" i="1"/>
  <c r="M2313" i="1"/>
  <c r="M2312" i="1"/>
  <c r="M2311" i="1"/>
  <c r="M2310" i="1"/>
  <c r="M2309" i="1"/>
  <c r="M2308" i="1"/>
  <c r="M2307" i="1"/>
  <c r="M2306" i="1"/>
  <c r="M2305" i="1"/>
  <c r="M2304" i="1"/>
  <c r="M2303" i="1"/>
  <c r="M2302" i="1"/>
  <c r="M2301" i="1"/>
  <c r="M2300" i="1"/>
  <c r="M2299" i="1"/>
  <c r="M2298" i="1"/>
  <c r="M2297" i="1"/>
  <c r="M2296" i="1"/>
  <c r="M2295" i="1"/>
  <c r="M2294" i="1"/>
  <c r="M2293" i="1"/>
  <c r="M2292" i="1"/>
  <c r="M2291" i="1"/>
  <c r="M2290" i="1"/>
  <c r="M2289" i="1"/>
  <c r="M2288" i="1"/>
  <c r="M2287" i="1"/>
  <c r="M2286" i="1"/>
  <c r="M2285" i="1"/>
  <c r="M2284" i="1"/>
  <c r="M2283" i="1"/>
  <c r="M2282" i="1"/>
  <c r="M2281" i="1"/>
  <c r="M2280" i="1"/>
  <c r="M2279" i="1"/>
  <c r="M2278" i="1"/>
  <c r="M2277" i="1"/>
  <c r="M2276" i="1"/>
  <c r="M2275" i="1"/>
  <c r="M2274" i="1"/>
  <c r="M2273" i="1"/>
  <c r="M2272" i="1"/>
  <c r="M2271" i="1"/>
  <c r="M2270" i="1"/>
  <c r="M2269" i="1"/>
  <c r="M2268" i="1"/>
  <c r="M2267" i="1"/>
  <c r="M2266" i="1"/>
  <c r="M2265" i="1"/>
  <c r="M2264" i="1"/>
  <c r="M2263" i="1"/>
  <c r="M2262" i="1"/>
  <c r="M2261" i="1"/>
  <c r="M2260" i="1"/>
  <c r="M2259" i="1"/>
  <c r="M2258" i="1"/>
  <c r="M2257" i="1"/>
  <c r="M2256" i="1"/>
  <c r="M2255" i="1"/>
  <c r="M2254" i="1"/>
  <c r="M2253" i="1"/>
  <c r="M2252" i="1"/>
  <c r="M2251" i="1"/>
  <c r="M2250" i="1"/>
  <c r="M2249" i="1"/>
  <c r="M2248" i="1"/>
  <c r="M2247" i="1"/>
  <c r="M2246" i="1"/>
  <c r="M2245" i="1"/>
  <c r="M2244" i="1"/>
  <c r="M2243" i="1"/>
  <c r="M2242" i="1"/>
  <c r="M2241" i="1"/>
  <c r="M2240" i="1"/>
  <c r="M2239" i="1"/>
  <c r="M2238" i="1"/>
  <c r="M2237" i="1"/>
  <c r="M2236" i="1"/>
  <c r="M2235" i="1"/>
  <c r="M2234" i="1"/>
  <c r="M2233" i="1"/>
  <c r="M2232" i="1"/>
  <c r="M2231" i="1"/>
  <c r="M2230" i="1"/>
  <c r="M2229" i="1"/>
  <c r="M2228" i="1"/>
  <c r="M2227" i="1"/>
  <c r="M2226" i="1"/>
  <c r="M2225" i="1"/>
  <c r="M2224" i="1"/>
  <c r="M2223" i="1"/>
  <c r="M2222" i="1"/>
  <c r="M2221" i="1"/>
  <c r="M2220" i="1"/>
  <c r="M2219" i="1"/>
  <c r="M2218" i="1"/>
  <c r="M2217" i="1"/>
  <c r="M2216" i="1"/>
  <c r="M2215" i="1"/>
  <c r="M2214" i="1"/>
  <c r="M2213" i="1"/>
  <c r="M2212" i="1"/>
  <c r="M2211" i="1"/>
  <c r="M2210" i="1"/>
  <c r="M2209" i="1"/>
  <c r="M2208" i="1"/>
  <c r="M2207" i="1"/>
  <c r="M2206" i="1"/>
  <c r="M2205" i="1"/>
  <c r="M2204" i="1"/>
  <c r="M2203" i="1"/>
  <c r="M2202" i="1"/>
  <c r="M2201" i="1"/>
  <c r="M2200" i="1"/>
  <c r="M2199" i="1"/>
  <c r="M2198" i="1"/>
  <c r="M2197" i="1"/>
  <c r="M2196" i="1"/>
  <c r="M2195" i="1"/>
  <c r="M2194" i="1"/>
  <c r="M2193" i="1"/>
  <c r="M2192" i="1"/>
  <c r="M2191" i="1"/>
  <c r="M2190" i="1"/>
  <c r="M2189" i="1"/>
  <c r="M2188" i="1"/>
  <c r="M2187" i="1"/>
  <c r="M2186" i="1"/>
  <c r="M2185" i="1"/>
  <c r="M2184" i="1"/>
  <c r="M2183" i="1"/>
  <c r="M2182" i="1"/>
  <c r="M2181" i="1"/>
  <c r="M2180" i="1"/>
  <c r="M2179" i="1"/>
  <c r="M2178" i="1"/>
  <c r="M2177" i="1"/>
  <c r="M2176" i="1"/>
  <c r="M2175" i="1"/>
  <c r="M2174" i="1"/>
  <c r="M2173" i="1"/>
  <c r="M2172" i="1"/>
  <c r="M2171" i="1"/>
  <c r="M2170" i="1"/>
  <c r="M2169" i="1"/>
  <c r="M2168" i="1"/>
  <c r="M2167" i="1"/>
  <c r="M2166" i="1"/>
  <c r="M2165" i="1"/>
  <c r="M2164" i="1"/>
  <c r="M2163" i="1"/>
  <c r="M2162" i="1"/>
  <c r="M2161" i="1"/>
  <c r="M2160" i="1"/>
  <c r="M2159" i="1"/>
  <c r="M2158" i="1"/>
  <c r="M2157" i="1"/>
  <c r="M2156" i="1"/>
  <c r="M2155" i="1"/>
  <c r="M2154" i="1"/>
  <c r="M2153" i="1"/>
  <c r="M2152" i="1"/>
  <c r="M2151" i="1"/>
  <c r="M2150" i="1"/>
  <c r="M2149" i="1"/>
  <c r="M2148" i="1"/>
  <c r="M2147" i="1"/>
  <c r="M2146" i="1"/>
  <c r="M2145" i="1"/>
  <c r="M2144" i="1"/>
  <c r="M2143" i="1"/>
  <c r="M2142" i="1"/>
  <c r="M2141" i="1"/>
  <c r="M2140" i="1"/>
  <c r="M2139" i="1"/>
  <c r="M2138" i="1"/>
  <c r="M2137" i="1"/>
  <c r="M2136" i="1"/>
  <c r="M2135" i="1"/>
  <c r="M2134" i="1"/>
  <c r="M2133" i="1"/>
  <c r="M2132" i="1"/>
  <c r="M2131" i="1"/>
  <c r="M2130" i="1"/>
  <c r="M2129" i="1"/>
  <c r="M2128" i="1"/>
  <c r="M2127" i="1"/>
  <c r="M2126" i="1"/>
  <c r="M2125" i="1"/>
  <c r="M2124" i="1"/>
  <c r="M2123" i="1"/>
  <c r="M2122" i="1"/>
  <c r="M2121" i="1"/>
  <c r="M2120" i="1"/>
  <c r="M2119" i="1"/>
  <c r="M2118" i="1"/>
  <c r="M2117" i="1"/>
  <c r="M2116" i="1"/>
  <c r="M2115" i="1"/>
  <c r="M2114" i="1"/>
  <c r="M2113" i="1"/>
  <c r="M2112" i="1"/>
  <c r="M2111" i="1"/>
  <c r="M2110" i="1"/>
  <c r="M2109" i="1"/>
  <c r="M2108" i="1"/>
  <c r="M2107" i="1"/>
  <c r="M2106" i="1"/>
  <c r="M2105" i="1"/>
  <c r="M2104" i="1"/>
  <c r="M2103" i="1"/>
  <c r="M2102" i="1"/>
  <c r="M2101" i="1"/>
  <c r="M2100" i="1"/>
  <c r="M2099" i="1"/>
  <c r="M2098" i="1"/>
  <c r="M2097" i="1"/>
  <c r="M2096" i="1"/>
  <c r="M2095" i="1"/>
  <c r="M2094" i="1"/>
  <c r="M2093" i="1"/>
  <c r="M2092" i="1"/>
  <c r="M2091" i="1"/>
  <c r="M2090" i="1"/>
  <c r="M2089" i="1"/>
  <c r="M2088" i="1"/>
  <c r="M2087" i="1"/>
  <c r="M2086" i="1"/>
  <c r="M2085" i="1"/>
  <c r="M2084" i="1"/>
  <c r="M2083" i="1"/>
  <c r="M2082" i="1"/>
  <c r="M2081" i="1"/>
  <c r="M2080" i="1"/>
  <c r="M2079" i="1"/>
  <c r="M2078" i="1"/>
  <c r="M2077" i="1"/>
  <c r="M2076" i="1"/>
  <c r="M2075" i="1"/>
  <c r="M2074" i="1"/>
  <c r="M2073" i="1"/>
  <c r="M2072" i="1"/>
  <c r="M2071" i="1"/>
  <c r="M2070" i="1"/>
  <c r="M2069" i="1"/>
  <c r="M2068" i="1"/>
  <c r="M2067" i="1"/>
  <c r="M2066" i="1"/>
  <c r="M2065" i="1"/>
  <c r="M2064" i="1"/>
  <c r="M2063" i="1"/>
  <c r="M2062" i="1"/>
  <c r="M2061" i="1"/>
  <c r="M2060" i="1"/>
  <c r="M2059" i="1"/>
  <c r="M2058" i="1"/>
  <c r="M2057" i="1"/>
  <c r="M2056" i="1"/>
  <c r="M2055" i="1"/>
  <c r="M2054" i="1"/>
  <c r="M2053" i="1"/>
  <c r="M2052" i="1"/>
  <c r="M2051" i="1"/>
  <c r="M2050" i="1"/>
  <c r="M2049" i="1"/>
  <c r="M2048" i="1"/>
  <c r="M2047" i="1"/>
  <c r="M2046" i="1"/>
  <c r="M2045" i="1"/>
  <c r="M2044" i="1"/>
  <c r="M2043" i="1"/>
  <c r="M2042" i="1"/>
  <c r="M2041" i="1"/>
  <c r="M2040" i="1"/>
  <c r="M2039" i="1"/>
  <c r="M2038" i="1"/>
  <c r="M2037" i="1"/>
  <c r="M2036" i="1"/>
  <c r="M2035" i="1"/>
  <c r="M2034" i="1"/>
  <c r="M2033" i="1"/>
  <c r="M2032" i="1"/>
  <c r="M2031" i="1"/>
  <c r="M2030" i="1"/>
  <c r="M2029" i="1"/>
  <c r="M2028" i="1"/>
  <c r="M2027" i="1"/>
  <c r="M2026" i="1"/>
  <c r="M2025" i="1"/>
  <c r="M2024" i="1"/>
  <c r="M2023" i="1"/>
  <c r="M2022" i="1"/>
  <c r="M2021" i="1"/>
  <c r="M2020" i="1"/>
  <c r="M2019" i="1"/>
  <c r="M2018" i="1"/>
  <c r="M2017" i="1"/>
  <c r="M2016" i="1"/>
  <c r="M2015" i="1"/>
  <c r="M2014" i="1"/>
  <c r="M2013" i="1"/>
  <c r="M2012" i="1"/>
  <c r="M2011" i="1"/>
  <c r="M2010" i="1"/>
  <c r="M2009" i="1"/>
  <c r="M2008" i="1"/>
  <c r="M2007" i="1"/>
  <c r="M2006" i="1"/>
  <c r="M2005" i="1"/>
  <c r="M2004" i="1"/>
  <c r="M2003" i="1"/>
  <c r="M2002" i="1"/>
  <c r="M2001" i="1"/>
  <c r="M2000" i="1"/>
  <c r="M1999" i="1"/>
  <c r="M1998" i="1"/>
  <c r="M1997" i="1"/>
  <c r="M1996" i="1"/>
  <c r="M1995" i="1"/>
  <c r="M1994" i="1"/>
  <c r="M1993" i="1"/>
  <c r="M1992" i="1"/>
  <c r="M1991" i="1"/>
  <c r="M1990" i="1"/>
  <c r="M1989" i="1"/>
  <c r="M1988" i="1"/>
  <c r="M1987" i="1"/>
  <c r="M1986" i="1"/>
  <c r="M1985" i="1"/>
  <c r="M1984" i="1"/>
  <c r="M1983" i="1"/>
  <c r="M1982" i="1"/>
  <c r="M1981" i="1"/>
  <c r="M1980" i="1"/>
  <c r="M1979" i="1"/>
  <c r="M1978" i="1"/>
  <c r="M1977" i="1"/>
  <c r="M1976" i="1"/>
  <c r="M1975" i="1"/>
  <c r="M1974" i="1"/>
  <c r="M1973" i="1"/>
  <c r="M1972" i="1"/>
  <c r="M1971" i="1"/>
  <c r="M1970" i="1"/>
  <c r="M1969" i="1"/>
  <c r="M1968" i="1"/>
  <c r="M1967" i="1"/>
  <c r="M1966" i="1"/>
  <c r="M1965" i="1"/>
  <c r="M1964" i="1"/>
  <c r="M1963" i="1"/>
  <c r="M1962" i="1"/>
  <c r="M1961" i="1"/>
  <c r="M1960" i="1"/>
  <c r="M1959" i="1"/>
  <c r="M1958" i="1"/>
  <c r="M1957" i="1"/>
  <c r="M1956" i="1"/>
  <c r="M1955" i="1"/>
  <c r="M1954" i="1"/>
  <c r="M1953" i="1"/>
  <c r="M1952" i="1"/>
  <c r="M1951" i="1"/>
  <c r="M1950" i="1"/>
  <c r="M1949" i="1"/>
  <c r="M1948" i="1"/>
  <c r="M1947" i="1"/>
  <c r="M1946" i="1"/>
  <c r="M1945" i="1"/>
  <c r="M1944" i="1"/>
  <c r="M1943" i="1"/>
  <c r="M1942" i="1"/>
  <c r="M1941" i="1"/>
  <c r="M1940" i="1"/>
  <c r="M1939" i="1"/>
  <c r="M1938" i="1"/>
  <c r="M1937" i="1"/>
  <c r="M1936" i="1"/>
  <c r="M1935" i="1"/>
  <c r="M1934" i="1"/>
  <c r="M1933" i="1"/>
  <c r="M1932" i="1"/>
  <c r="M1931" i="1"/>
  <c r="M1930" i="1"/>
  <c r="M1929" i="1"/>
  <c r="M1928" i="1"/>
  <c r="M1927" i="1"/>
  <c r="M1926" i="1"/>
  <c r="M1925" i="1"/>
  <c r="M1924" i="1"/>
  <c r="M1923" i="1"/>
  <c r="M1922" i="1"/>
  <c r="M1921" i="1"/>
  <c r="M1920" i="1"/>
  <c r="M1919" i="1"/>
  <c r="M1918" i="1"/>
  <c r="M1917" i="1"/>
  <c r="M1916" i="1"/>
  <c r="M1915" i="1"/>
  <c r="M1914" i="1"/>
  <c r="M1913" i="1"/>
  <c r="M1912" i="1"/>
  <c r="M1911" i="1"/>
  <c r="M1910" i="1"/>
  <c r="M1909" i="1"/>
  <c r="M1908" i="1"/>
  <c r="M1907" i="1"/>
  <c r="M1906" i="1"/>
  <c r="M1905" i="1"/>
  <c r="M1904" i="1"/>
  <c r="M1903" i="1"/>
  <c r="M1902" i="1"/>
  <c r="M1901" i="1"/>
  <c r="M1900" i="1"/>
  <c r="M1899" i="1"/>
  <c r="M1898" i="1"/>
  <c r="M1897" i="1"/>
  <c r="M1896" i="1"/>
  <c r="M1895" i="1"/>
  <c r="M1894" i="1"/>
  <c r="M1893" i="1"/>
  <c r="M1892" i="1"/>
  <c r="M1891" i="1"/>
  <c r="M1890" i="1"/>
  <c r="M1889" i="1"/>
  <c r="M1888" i="1"/>
  <c r="M1887" i="1"/>
  <c r="M1886" i="1"/>
  <c r="M1885" i="1"/>
  <c r="M1884" i="1"/>
  <c r="M1883" i="1"/>
  <c r="M1882" i="1"/>
  <c r="M1881" i="1"/>
  <c r="M1880" i="1"/>
  <c r="M1879" i="1"/>
  <c r="M1878" i="1"/>
  <c r="M1877" i="1"/>
  <c r="M1876" i="1"/>
  <c r="M1875" i="1"/>
  <c r="M1874" i="1"/>
  <c r="M1873" i="1"/>
  <c r="M1872" i="1"/>
  <c r="M1871" i="1"/>
  <c r="M1870" i="1"/>
  <c r="M1869" i="1"/>
  <c r="M1868" i="1"/>
  <c r="M1867" i="1"/>
  <c r="M1866" i="1"/>
  <c r="M1865" i="1"/>
  <c r="M1864" i="1"/>
  <c r="M1863" i="1"/>
  <c r="M1862" i="1"/>
  <c r="M1861" i="1"/>
  <c r="M1860" i="1"/>
  <c r="M1859" i="1"/>
  <c r="M1858" i="1"/>
  <c r="M1857" i="1"/>
  <c r="M1856" i="1"/>
  <c r="M1855" i="1"/>
  <c r="M1854" i="1"/>
  <c r="M1853" i="1"/>
  <c r="M1852" i="1"/>
  <c r="M1851" i="1"/>
  <c r="M1850" i="1"/>
  <c r="M1849" i="1"/>
  <c r="M1848" i="1"/>
  <c r="M1847" i="1"/>
  <c r="M1846" i="1"/>
  <c r="M1845" i="1"/>
  <c r="M1844" i="1"/>
  <c r="M1843" i="1"/>
  <c r="M1842" i="1"/>
  <c r="M1841" i="1"/>
  <c r="M1840" i="1"/>
  <c r="M1839" i="1"/>
  <c r="M1838" i="1"/>
  <c r="M1837" i="1"/>
  <c r="M1836" i="1"/>
  <c r="M1835" i="1"/>
  <c r="M1834" i="1"/>
  <c r="M1833" i="1"/>
  <c r="M1832" i="1"/>
  <c r="M1831" i="1"/>
  <c r="M1830" i="1"/>
  <c r="M1829" i="1"/>
  <c r="M1828" i="1"/>
  <c r="M1827" i="1"/>
  <c r="M1826" i="1"/>
  <c r="M1825" i="1"/>
  <c r="M1824" i="1"/>
  <c r="M1823" i="1"/>
  <c r="M1822" i="1"/>
  <c r="M1821" i="1"/>
  <c r="M1820" i="1"/>
  <c r="M1819" i="1"/>
  <c r="M1818" i="1"/>
  <c r="M1817" i="1"/>
  <c r="M1816" i="1"/>
  <c r="M1815" i="1"/>
  <c r="M1814" i="1"/>
  <c r="M1813" i="1"/>
  <c r="M1812" i="1"/>
  <c r="M1811" i="1"/>
  <c r="M1810" i="1"/>
  <c r="M1809" i="1"/>
  <c r="M1808" i="1"/>
  <c r="M1807" i="1"/>
  <c r="M1806" i="1"/>
  <c r="M1805" i="1"/>
  <c r="M1804" i="1"/>
  <c r="M1803" i="1"/>
  <c r="M1802" i="1"/>
  <c r="M1801" i="1"/>
  <c r="M1800" i="1"/>
  <c r="M1799" i="1"/>
  <c r="M1798" i="1"/>
  <c r="M1797" i="1"/>
  <c r="M1796" i="1"/>
  <c r="M1795" i="1"/>
  <c r="M1794" i="1"/>
  <c r="M1793" i="1"/>
  <c r="M1792" i="1"/>
  <c r="M1791" i="1"/>
  <c r="M1790" i="1"/>
  <c r="M1789" i="1"/>
  <c r="M1788" i="1"/>
  <c r="M1787" i="1"/>
  <c r="M1786" i="1"/>
  <c r="M1785" i="1"/>
  <c r="M1784" i="1"/>
  <c r="M1783" i="1"/>
  <c r="M1782" i="1"/>
  <c r="M1781" i="1"/>
  <c r="M1780" i="1"/>
  <c r="M1779" i="1"/>
  <c r="M1778" i="1"/>
  <c r="M1777" i="1"/>
  <c r="M1776" i="1"/>
  <c r="M1775" i="1"/>
  <c r="M1774" i="1"/>
  <c r="M1773" i="1"/>
  <c r="M1772" i="1"/>
  <c r="M1771" i="1"/>
  <c r="M1770" i="1"/>
  <c r="M1769" i="1"/>
  <c r="M1768" i="1"/>
  <c r="M1767" i="1"/>
  <c r="M1766" i="1"/>
  <c r="M1765" i="1"/>
  <c r="M1764" i="1"/>
  <c r="M1763" i="1"/>
  <c r="M1762" i="1"/>
  <c r="M1761" i="1"/>
  <c r="M1760" i="1"/>
  <c r="M1759" i="1"/>
  <c r="M1758" i="1"/>
  <c r="M1757" i="1"/>
  <c r="M1756" i="1"/>
  <c r="M1755" i="1"/>
  <c r="M1754" i="1"/>
  <c r="M1753" i="1"/>
  <c r="M1752" i="1"/>
  <c r="M1751" i="1"/>
  <c r="M1750" i="1"/>
  <c r="M1749" i="1"/>
  <c r="M1748" i="1"/>
  <c r="M1747" i="1"/>
  <c r="M1746" i="1"/>
  <c r="M1745" i="1"/>
  <c r="M1744" i="1"/>
  <c r="M1743" i="1"/>
  <c r="M1742" i="1"/>
  <c r="M1741" i="1"/>
  <c r="M1740" i="1"/>
  <c r="M1739" i="1"/>
  <c r="M1738" i="1"/>
  <c r="M1737" i="1"/>
  <c r="M1736" i="1"/>
  <c r="M1735" i="1"/>
  <c r="M1734" i="1"/>
  <c r="M1733" i="1"/>
  <c r="M1732" i="1"/>
  <c r="M1731" i="1"/>
  <c r="M1730" i="1"/>
  <c r="M1729" i="1"/>
  <c r="M1728" i="1"/>
  <c r="M1727" i="1"/>
  <c r="M1726" i="1"/>
  <c r="M1725" i="1"/>
  <c r="M1724" i="1"/>
  <c r="M1723" i="1"/>
  <c r="M1722" i="1"/>
  <c r="M1721" i="1"/>
  <c r="M1720" i="1"/>
  <c r="M1719" i="1"/>
  <c r="M1718" i="1"/>
  <c r="M1717" i="1"/>
  <c r="M1716" i="1"/>
  <c r="M1715" i="1"/>
  <c r="M1714" i="1"/>
  <c r="M1713" i="1"/>
  <c r="M1712" i="1"/>
  <c r="M1711" i="1"/>
  <c r="M1710" i="1"/>
  <c r="M1709" i="1"/>
  <c r="M1708" i="1"/>
  <c r="M1707" i="1"/>
  <c r="M1706" i="1"/>
  <c r="M1705" i="1"/>
  <c r="M1704" i="1"/>
  <c r="M1703" i="1"/>
  <c r="M1702" i="1"/>
  <c r="M1701" i="1"/>
  <c r="M1700" i="1"/>
  <c r="M1699" i="1"/>
  <c r="M1698" i="1"/>
  <c r="M1697" i="1"/>
  <c r="M1696" i="1"/>
  <c r="M1695" i="1"/>
  <c r="M1694" i="1"/>
  <c r="M1693" i="1"/>
  <c r="M1692" i="1"/>
  <c r="M1691" i="1"/>
  <c r="M1690" i="1"/>
  <c r="M1689" i="1"/>
  <c r="M1688" i="1"/>
  <c r="M1687" i="1"/>
  <c r="M1686" i="1"/>
  <c r="M1685" i="1"/>
  <c r="M1684" i="1"/>
  <c r="M1683" i="1"/>
  <c r="M1682" i="1"/>
  <c r="M1681" i="1"/>
  <c r="M1680" i="1"/>
  <c r="M1679" i="1"/>
  <c r="M1678" i="1"/>
  <c r="M1677" i="1"/>
  <c r="M1676" i="1"/>
  <c r="M1675" i="1"/>
  <c r="M1674" i="1"/>
  <c r="M1673" i="1"/>
  <c r="M1672" i="1"/>
  <c r="M1671" i="1"/>
  <c r="M1670" i="1"/>
  <c r="M1669" i="1"/>
  <c r="M1668" i="1"/>
  <c r="M1667" i="1"/>
  <c r="M1666" i="1"/>
  <c r="M1665" i="1"/>
  <c r="M1664" i="1"/>
  <c r="M1663" i="1"/>
  <c r="M1662" i="1"/>
  <c r="M1661" i="1"/>
  <c r="M1660" i="1"/>
  <c r="M1659" i="1"/>
  <c r="M1658" i="1"/>
  <c r="M1657" i="1"/>
  <c r="M1656" i="1"/>
  <c r="M1655" i="1"/>
  <c r="M1654" i="1"/>
  <c r="M1653" i="1"/>
  <c r="M1652" i="1"/>
  <c r="M1651" i="1"/>
  <c r="M1650" i="1"/>
  <c r="M1649" i="1"/>
  <c r="M1648" i="1"/>
  <c r="M1647" i="1"/>
  <c r="M1646" i="1"/>
  <c r="M1645" i="1"/>
  <c r="M1644" i="1"/>
  <c r="M1643" i="1"/>
  <c r="M1642" i="1"/>
  <c r="M1641" i="1"/>
  <c r="M1640" i="1"/>
  <c r="M1639" i="1"/>
  <c r="M1638" i="1"/>
  <c r="M1637" i="1"/>
  <c r="M1636" i="1"/>
  <c r="M1635" i="1"/>
  <c r="M1634" i="1"/>
  <c r="M1633" i="1"/>
  <c r="M1632" i="1"/>
  <c r="M1631" i="1"/>
  <c r="M1630" i="1"/>
  <c r="M1629" i="1"/>
  <c r="M1628" i="1"/>
  <c r="M1627" i="1"/>
  <c r="M1626" i="1"/>
  <c r="M1625" i="1"/>
  <c r="M1624" i="1"/>
  <c r="M1623" i="1"/>
  <c r="M1622" i="1"/>
  <c r="M1621" i="1"/>
  <c r="M1620" i="1"/>
  <c r="M1619" i="1"/>
  <c r="M1618" i="1"/>
  <c r="M1617" i="1"/>
  <c r="M1616" i="1"/>
  <c r="M1615" i="1"/>
  <c r="M1614" i="1"/>
  <c r="M1613" i="1"/>
  <c r="M1612" i="1"/>
  <c r="M1611" i="1"/>
  <c r="M1610" i="1"/>
  <c r="M1609" i="1"/>
  <c r="M1608" i="1"/>
  <c r="M1607" i="1"/>
  <c r="M1606" i="1"/>
  <c r="M1605" i="1"/>
  <c r="M1604" i="1"/>
  <c r="M1603" i="1"/>
  <c r="M1602" i="1"/>
  <c r="M1601" i="1"/>
  <c r="M1600" i="1"/>
  <c r="M1599" i="1"/>
  <c r="M1598" i="1"/>
  <c r="M1597" i="1"/>
  <c r="M1596" i="1"/>
  <c r="M1595" i="1"/>
  <c r="M1594" i="1"/>
  <c r="M1593" i="1"/>
  <c r="M1592" i="1"/>
  <c r="M1591" i="1"/>
  <c r="M1590" i="1"/>
  <c r="M1589" i="1"/>
  <c r="M1588" i="1"/>
  <c r="M1587" i="1"/>
  <c r="M1586" i="1"/>
  <c r="M1585" i="1"/>
  <c r="M1584" i="1"/>
  <c r="M1583" i="1"/>
  <c r="M1582" i="1"/>
  <c r="M1581" i="1"/>
  <c r="M1580" i="1"/>
  <c r="M1579" i="1"/>
  <c r="M1578" i="1"/>
  <c r="M1577" i="1"/>
  <c r="M1576" i="1"/>
  <c r="M1575" i="1"/>
  <c r="M1574" i="1"/>
  <c r="M1573" i="1"/>
  <c r="M1572" i="1"/>
  <c r="M1571" i="1"/>
  <c r="M1570" i="1"/>
  <c r="M1569" i="1"/>
  <c r="M1568" i="1"/>
  <c r="M1567" i="1"/>
  <c r="M1566" i="1"/>
  <c r="M1565" i="1"/>
  <c r="M1564" i="1"/>
  <c r="M1563" i="1"/>
  <c r="M1562" i="1"/>
  <c r="M1561" i="1"/>
  <c r="M1560" i="1"/>
  <c r="M1559" i="1"/>
  <c r="M1558" i="1"/>
  <c r="M1557" i="1"/>
  <c r="M1556" i="1"/>
  <c r="M1555" i="1"/>
  <c r="M1554" i="1"/>
  <c r="M1553" i="1"/>
  <c r="M1552" i="1"/>
  <c r="M1551" i="1"/>
  <c r="M1550" i="1"/>
  <c r="M1549" i="1"/>
  <c r="M1548" i="1"/>
  <c r="M1547" i="1"/>
  <c r="M1546" i="1"/>
  <c r="M1545" i="1"/>
  <c r="M1544" i="1"/>
  <c r="M1543" i="1"/>
  <c r="M1542" i="1"/>
  <c r="M1541" i="1"/>
  <c r="M1540" i="1"/>
  <c r="M1539" i="1"/>
  <c r="M1538" i="1"/>
  <c r="M1537" i="1"/>
  <c r="M1536" i="1"/>
  <c r="M1535" i="1"/>
  <c r="M1534" i="1"/>
  <c r="M1533" i="1"/>
  <c r="M1532" i="1"/>
  <c r="M1531" i="1"/>
  <c r="M1530" i="1"/>
  <c r="M1529" i="1"/>
  <c r="M1528" i="1"/>
  <c r="M1527" i="1"/>
  <c r="M1526" i="1"/>
  <c r="M1525" i="1"/>
  <c r="M1524" i="1"/>
  <c r="M1523" i="1"/>
  <c r="M1522" i="1"/>
  <c r="M1521" i="1"/>
  <c r="M1520" i="1"/>
  <c r="M1519" i="1"/>
  <c r="M1518" i="1"/>
  <c r="M1517" i="1"/>
  <c r="M1516" i="1"/>
  <c r="M1515" i="1"/>
  <c r="M1514" i="1"/>
  <c r="M1513" i="1"/>
  <c r="M1512" i="1"/>
  <c r="M1511" i="1"/>
  <c r="M1510" i="1"/>
  <c r="M1509" i="1"/>
  <c r="M1508" i="1"/>
  <c r="M1507" i="1"/>
  <c r="M1506" i="1"/>
  <c r="M1505" i="1"/>
  <c r="M1504" i="1"/>
  <c r="M1503" i="1"/>
  <c r="M1502" i="1"/>
  <c r="M1501" i="1"/>
  <c r="M1500" i="1"/>
  <c r="M1499" i="1"/>
  <c r="M1498" i="1"/>
  <c r="M1497" i="1"/>
  <c r="M1496" i="1"/>
  <c r="M1495" i="1"/>
  <c r="M1494" i="1"/>
  <c r="M1493" i="1"/>
  <c r="M1492" i="1"/>
  <c r="M1491" i="1"/>
  <c r="M1490" i="1"/>
  <c r="M1489" i="1"/>
  <c r="M1488" i="1"/>
  <c r="M1487" i="1"/>
  <c r="M1486" i="1"/>
  <c r="M1485" i="1"/>
  <c r="M1484" i="1"/>
  <c r="M1483" i="1"/>
  <c r="M1482" i="1"/>
  <c r="M1481" i="1"/>
  <c r="M1480" i="1"/>
  <c r="M1479" i="1"/>
  <c r="M1478" i="1"/>
  <c r="M1477" i="1"/>
  <c r="M1476" i="1"/>
  <c r="M1475" i="1"/>
  <c r="M1474" i="1"/>
  <c r="M1473" i="1"/>
  <c r="M1472" i="1"/>
  <c r="M1471" i="1"/>
  <c r="M1470" i="1"/>
  <c r="M1469" i="1"/>
  <c r="M1468" i="1"/>
  <c r="M1467" i="1"/>
  <c r="M1466" i="1"/>
  <c r="M1465" i="1"/>
  <c r="M1464" i="1"/>
  <c r="M1463" i="1"/>
  <c r="M1462" i="1"/>
  <c r="M1461" i="1"/>
  <c r="M1460" i="1"/>
  <c r="M1459" i="1"/>
  <c r="M1458" i="1"/>
  <c r="M1457" i="1"/>
  <c r="M1456" i="1"/>
  <c r="M1455" i="1"/>
  <c r="M1454" i="1"/>
  <c r="M1453" i="1"/>
  <c r="M1452" i="1"/>
  <c r="M1451" i="1"/>
  <c r="M1450" i="1"/>
  <c r="M1449" i="1"/>
  <c r="M1448" i="1"/>
  <c r="M1447" i="1"/>
  <c r="M1446" i="1"/>
  <c r="M1445" i="1"/>
  <c r="M1444" i="1"/>
  <c r="M1443" i="1"/>
  <c r="M1442" i="1"/>
  <c r="M1441" i="1"/>
  <c r="M1440" i="1"/>
  <c r="M1439" i="1"/>
  <c r="M1438" i="1"/>
  <c r="M1437" i="1"/>
  <c r="M1436" i="1"/>
  <c r="M1435" i="1"/>
  <c r="M1434" i="1"/>
  <c r="M1433" i="1"/>
  <c r="M1432" i="1"/>
  <c r="M1431" i="1"/>
  <c r="M1430" i="1"/>
  <c r="M1429" i="1"/>
  <c r="M1428" i="1"/>
  <c r="M1427" i="1"/>
  <c r="M1426" i="1"/>
  <c r="M1425" i="1"/>
  <c r="M1424" i="1"/>
  <c r="M1423" i="1"/>
  <c r="M1422" i="1"/>
  <c r="M1421" i="1"/>
  <c r="M1420" i="1"/>
  <c r="M1419" i="1"/>
  <c r="M1418" i="1"/>
  <c r="M1417" i="1"/>
  <c r="M1416" i="1"/>
  <c r="M1415" i="1"/>
  <c r="M1414" i="1"/>
  <c r="M1413" i="1"/>
  <c r="M1412" i="1"/>
  <c r="M1411" i="1"/>
  <c r="M1410" i="1"/>
  <c r="M1409" i="1"/>
  <c r="M1408" i="1"/>
  <c r="M1407" i="1"/>
  <c r="M1406" i="1"/>
  <c r="M1405" i="1"/>
  <c r="M1404" i="1"/>
  <c r="M1403" i="1"/>
  <c r="M1402" i="1"/>
  <c r="M1401" i="1"/>
  <c r="M1400" i="1"/>
  <c r="M1399" i="1"/>
  <c r="M1398" i="1"/>
  <c r="M1397" i="1"/>
  <c r="M1396" i="1"/>
  <c r="M1395" i="1"/>
  <c r="M1394" i="1"/>
  <c r="M1393" i="1"/>
  <c r="M1392" i="1"/>
  <c r="M1391" i="1"/>
  <c r="M1390" i="1"/>
  <c r="M1389" i="1"/>
  <c r="M1388" i="1"/>
  <c r="M1387" i="1"/>
  <c r="M1386" i="1"/>
  <c r="M1385" i="1"/>
  <c r="M1384" i="1"/>
  <c r="M1383" i="1"/>
  <c r="M1382" i="1"/>
  <c r="M1381" i="1"/>
  <c r="M1380" i="1"/>
  <c r="M1379" i="1"/>
  <c r="M1378" i="1"/>
  <c r="M1377" i="1"/>
  <c r="M1376" i="1"/>
  <c r="M1375" i="1"/>
  <c r="M1374" i="1"/>
  <c r="M1373" i="1"/>
  <c r="M1372" i="1"/>
  <c r="M1371" i="1"/>
  <c r="M1370" i="1"/>
  <c r="M1369" i="1"/>
  <c r="M1368" i="1"/>
  <c r="M1367" i="1"/>
  <c r="M1366" i="1"/>
  <c r="M1365" i="1"/>
  <c r="M1364" i="1"/>
  <c r="M1363" i="1"/>
  <c r="M1362" i="1"/>
  <c r="M1361" i="1"/>
  <c r="M1360" i="1"/>
  <c r="M1359" i="1"/>
  <c r="M1358" i="1"/>
  <c r="M1357" i="1"/>
  <c r="M1356" i="1"/>
  <c r="M1355" i="1"/>
  <c r="M1354" i="1"/>
  <c r="M1353" i="1"/>
  <c r="M1352" i="1"/>
  <c r="M1351" i="1"/>
  <c r="M1350" i="1"/>
  <c r="M1349" i="1"/>
  <c r="M1348" i="1"/>
  <c r="M1347" i="1"/>
  <c r="M1346" i="1"/>
  <c r="M1345" i="1"/>
  <c r="M1344" i="1"/>
  <c r="M1343" i="1"/>
  <c r="M1342" i="1"/>
  <c r="M1341" i="1"/>
  <c r="M1340" i="1"/>
  <c r="M1339" i="1"/>
  <c r="M1338" i="1"/>
  <c r="M1337" i="1"/>
  <c r="M1336" i="1"/>
  <c r="M1335" i="1"/>
  <c r="M1334" i="1"/>
  <c r="M1333" i="1"/>
  <c r="M1332" i="1"/>
  <c r="M1331" i="1"/>
  <c r="M1330" i="1"/>
  <c r="M1329" i="1"/>
  <c r="M1328" i="1"/>
  <c r="M1327" i="1"/>
  <c r="M1326" i="1"/>
  <c r="M1325" i="1"/>
  <c r="M1324" i="1"/>
  <c r="M1323" i="1"/>
  <c r="M1322" i="1"/>
  <c r="M1321" i="1"/>
  <c r="M1320" i="1"/>
  <c r="M1319" i="1"/>
  <c r="M1318" i="1"/>
  <c r="M1317" i="1"/>
  <c r="M1316" i="1"/>
  <c r="M1315" i="1"/>
  <c r="M1314" i="1"/>
  <c r="M1313" i="1"/>
  <c r="M1312" i="1"/>
  <c r="M1311" i="1"/>
  <c r="M1310" i="1"/>
  <c r="M1309" i="1"/>
  <c r="M1308" i="1"/>
  <c r="M1307" i="1"/>
  <c r="M1306" i="1"/>
  <c r="M1305" i="1"/>
  <c r="M1304" i="1"/>
  <c r="M1303" i="1"/>
  <c r="M1302" i="1"/>
  <c r="M1301" i="1"/>
  <c r="M1300" i="1"/>
  <c r="M1299" i="1"/>
  <c r="M1298" i="1"/>
  <c r="M1297" i="1"/>
  <c r="M1296" i="1"/>
  <c r="M1295" i="1"/>
  <c r="M1294" i="1"/>
  <c r="M1293" i="1"/>
  <c r="M1292" i="1"/>
  <c r="M1291" i="1"/>
  <c r="M1290" i="1"/>
  <c r="M1289" i="1"/>
  <c r="M1288" i="1"/>
  <c r="M1287" i="1"/>
  <c r="M1286" i="1"/>
  <c r="M1285" i="1"/>
  <c r="M1284" i="1"/>
  <c r="M1283" i="1"/>
  <c r="M1282" i="1"/>
  <c r="M1281" i="1"/>
  <c r="M1280" i="1"/>
  <c r="M1279" i="1"/>
  <c r="M1278" i="1"/>
  <c r="M1277" i="1"/>
  <c r="M1276" i="1"/>
  <c r="M1275" i="1"/>
  <c r="M1274" i="1"/>
  <c r="M1273" i="1"/>
  <c r="M1272" i="1"/>
  <c r="M1271" i="1"/>
  <c r="M1270" i="1"/>
  <c r="M1269" i="1"/>
  <c r="M1268" i="1"/>
  <c r="M1267" i="1"/>
  <c r="M1266" i="1"/>
  <c r="M1265" i="1"/>
  <c r="M1264" i="1"/>
  <c r="M1263" i="1"/>
  <c r="M1262" i="1"/>
  <c r="M1261" i="1"/>
  <c r="M1260" i="1"/>
  <c r="M1259" i="1"/>
  <c r="M1258" i="1"/>
  <c r="M1257" i="1"/>
  <c r="M1256" i="1"/>
  <c r="M1255" i="1"/>
  <c r="M1254" i="1"/>
  <c r="M1253" i="1"/>
  <c r="M1252" i="1"/>
  <c r="M1251" i="1"/>
  <c r="M1250" i="1"/>
  <c r="M1249" i="1"/>
  <c r="M1248" i="1"/>
  <c r="M1247" i="1"/>
  <c r="M1246" i="1"/>
  <c r="M1245" i="1"/>
  <c r="M1244" i="1"/>
  <c r="M1243" i="1"/>
  <c r="M1242" i="1"/>
  <c r="M1241" i="1"/>
  <c r="M1240" i="1"/>
  <c r="M1239" i="1"/>
  <c r="M1238" i="1"/>
  <c r="M1237" i="1"/>
  <c r="M1236" i="1"/>
  <c r="M1235" i="1"/>
  <c r="M1234" i="1"/>
  <c r="M1233" i="1"/>
  <c r="M1232" i="1"/>
  <c r="M1231" i="1"/>
  <c r="M1230" i="1"/>
  <c r="M1229" i="1"/>
  <c r="M1228" i="1"/>
  <c r="M1227" i="1"/>
  <c r="M1226" i="1"/>
  <c r="M1225" i="1"/>
  <c r="M1224" i="1"/>
  <c r="M1223" i="1"/>
  <c r="M1222" i="1"/>
  <c r="M1221" i="1"/>
  <c r="M1220" i="1"/>
  <c r="M1219" i="1"/>
  <c r="M1218" i="1"/>
  <c r="M1217" i="1"/>
  <c r="M1216" i="1"/>
  <c r="M1215" i="1"/>
  <c r="M1214" i="1"/>
  <c r="M1213" i="1"/>
  <c r="M1212" i="1"/>
  <c r="M1211" i="1"/>
  <c r="M1210" i="1"/>
  <c r="M1209" i="1"/>
  <c r="M1208" i="1"/>
  <c r="M1207" i="1"/>
  <c r="M1206" i="1"/>
  <c r="M1205" i="1"/>
  <c r="M1204" i="1"/>
  <c r="M1203" i="1"/>
  <c r="M1202" i="1"/>
  <c r="M1201" i="1"/>
  <c r="M1200" i="1"/>
  <c r="M1199" i="1"/>
  <c r="M1198" i="1"/>
  <c r="M1197" i="1"/>
  <c r="M1196" i="1"/>
  <c r="M1195" i="1"/>
  <c r="M1194" i="1"/>
  <c r="M1193" i="1"/>
  <c r="M1192" i="1"/>
  <c r="M1191" i="1"/>
  <c r="M1190" i="1"/>
  <c r="M1189" i="1"/>
  <c r="M1188" i="1"/>
  <c r="M1187" i="1"/>
  <c r="M1186" i="1"/>
  <c r="M1185" i="1"/>
  <c r="M1184" i="1"/>
  <c r="M1183" i="1"/>
  <c r="M1182" i="1"/>
  <c r="M1181" i="1"/>
  <c r="M1180" i="1"/>
  <c r="M1179" i="1"/>
  <c r="M1178" i="1"/>
  <c r="M1177" i="1"/>
  <c r="M1176" i="1"/>
  <c r="M1175" i="1"/>
  <c r="M1174" i="1"/>
  <c r="M1173" i="1"/>
  <c r="M1172" i="1"/>
  <c r="M1171" i="1"/>
  <c r="M1170" i="1"/>
  <c r="M1169" i="1"/>
  <c r="M1168" i="1"/>
  <c r="M1167" i="1"/>
  <c r="M1166" i="1"/>
  <c r="M1165" i="1"/>
  <c r="M1164" i="1"/>
  <c r="M1163" i="1"/>
  <c r="M1162" i="1"/>
  <c r="M1161" i="1"/>
  <c r="M1160" i="1"/>
  <c r="M1159" i="1"/>
  <c r="M1158" i="1"/>
  <c r="M1157" i="1"/>
  <c r="M1156" i="1"/>
  <c r="M1155" i="1"/>
  <c r="M1154" i="1"/>
  <c r="M1153" i="1"/>
  <c r="M1152" i="1"/>
  <c r="M1151" i="1"/>
  <c r="M1150" i="1"/>
  <c r="M1149" i="1"/>
  <c r="M1148" i="1"/>
  <c r="M1147" i="1"/>
  <c r="M1146" i="1"/>
  <c r="M1145" i="1"/>
  <c r="M1144" i="1"/>
  <c r="M1143" i="1"/>
  <c r="M1142" i="1"/>
  <c r="M1141" i="1"/>
  <c r="M1140" i="1"/>
  <c r="M1139" i="1"/>
  <c r="M1138" i="1"/>
  <c r="M1137" i="1"/>
  <c r="M1136" i="1"/>
  <c r="M1135" i="1"/>
  <c r="M1134" i="1"/>
  <c r="M1133" i="1"/>
  <c r="M1132" i="1"/>
  <c r="M1131" i="1"/>
  <c r="M1130" i="1"/>
  <c r="M1129" i="1"/>
  <c r="M1128" i="1"/>
  <c r="M1127" i="1"/>
  <c r="M1126" i="1"/>
  <c r="M1125" i="1"/>
  <c r="M1124" i="1"/>
  <c r="M1123" i="1"/>
  <c r="M1122" i="1"/>
  <c r="M1121" i="1"/>
  <c r="M1120" i="1"/>
  <c r="M1119" i="1"/>
  <c r="M1118" i="1"/>
  <c r="M1117" i="1"/>
  <c r="M1116" i="1"/>
  <c r="M1115" i="1"/>
  <c r="M1114" i="1"/>
  <c r="M1113" i="1"/>
  <c r="M1112" i="1"/>
  <c r="M1111" i="1"/>
  <c r="M1110" i="1"/>
  <c r="M1109" i="1"/>
  <c r="M1108" i="1"/>
  <c r="M1107" i="1"/>
  <c r="M1106" i="1"/>
  <c r="M1105" i="1"/>
  <c r="M1104" i="1"/>
  <c r="M1103" i="1"/>
  <c r="M1102" i="1"/>
  <c r="M1101" i="1"/>
  <c r="M1100" i="1"/>
  <c r="M1099" i="1"/>
  <c r="M1098" i="1"/>
  <c r="M1097" i="1"/>
  <c r="M1096" i="1"/>
  <c r="M1095" i="1"/>
  <c r="M1094" i="1"/>
  <c r="M1093" i="1"/>
  <c r="M1092" i="1"/>
  <c r="M1091" i="1"/>
  <c r="M1090" i="1"/>
  <c r="M1089" i="1"/>
  <c r="M1088" i="1"/>
  <c r="M1087" i="1"/>
  <c r="M1086" i="1"/>
  <c r="M1085" i="1"/>
  <c r="M1084" i="1"/>
  <c r="M1083" i="1"/>
  <c r="M1082" i="1"/>
  <c r="M1081" i="1"/>
  <c r="M1080" i="1"/>
  <c r="M1079" i="1"/>
  <c r="M1078" i="1"/>
  <c r="M1077" i="1"/>
  <c r="M1076" i="1"/>
  <c r="M1075" i="1"/>
  <c r="M1074" i="1"/>
  <c r="M1073" i="1"/>
  <c r="M1072" i="1"/>
  <c r="M1071" i="1"/>
  <c r="M1070" i="1"/>
  <c r="M1069" i="1"/>
  <c r="M1068" i="1"/>
  <c r="M1067" i="1"/>
  <c r="M1066" i="1"/>
  <c r="M1065" i="1"/>
  <c r="M1064" i="1"/>
  <c r="M1063" i="1"/>
  <c r="M1062" i="1"/>
  <c r="M1061" i="1"/>
  <c r="M1060" i="1"/>
  <c r="M1059" i="1"/>
  <c r="M1058" i="1"/>
  <c r="M1057" i="1"/>
  <c r="M1056" i="1"/>
  <c r="M1055" i="1"/>
  <c r="M1054" i="1"/>
  <c r="M1053" i="1"/>
  <c r="M1052" i="1"/>
  <c r="M1051" i="1"/>
  <c r="M1050" i="1"/>
  <c r="M1049" i="1"/>
  <c r="M1048" i="1"/>
  <c r="M1047" i="1"/>
  <c r="M1046" i="1"/>
  <c r="M1045" i="1"/>
  <c r="M1044" i="1"/>
  <c r="M1043" i="1"/>
  <c r="M1042" i="1"/>
  <c r="M1041" i="1"/>
  <c r="M1040" i="1"/>
  <c r="M1039" i="1"/>
  <c r="M1038" i="1"/>
  <c r="M1037" i="1"/>
  <c r="M1036" i="1"/>
  <c r="M1035" i="1"/>
  <c r="M1034" i="1"/>
  <c r="M1033" i="1"/>
  <c r="M1032" i="1"/>
  <c r="M1031" i="1"/>
  <c r="M1030" i="1"/>
  <c r="M1029" i="1"/>
  <c r="M1028" i="1"/>
  <c r="M1027" i="1"/>
  <c r="M1026" i="1"/>
  <c r="M1025" i="1"/>
  <c r="M1024" i="1"/>
  <c r="M1023" i="1"/>
  <c r="M1022" i="1"/>
  <c r="M1021" i="1"/>
  <c r="M1020" i="1"/>
  <c r="M1019" i="1"/>
  <c r="M1018" i="1"/>
  <c r="M1017" i="1"/>
  <c r="M1016" i="1"/>
  <c r="M1015" i="1"/>
  <c r="M1014" i="1"/>
  <c r="M1013" i="1"/>
  <c r="M1012" i="1"/>
  <c r="M1011" i="1"/>
  <c r="M1010" i="1"/>
  <c r="M1009" i="1"/>
  <c r="M1008" i="1"/>
  <c r="M1007" i="1"/>
  <c r="M1006" i="1"/>
  <c r="M1005" i="1"/>
  <c r="M1004" i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M981" i="1"/>
  <c r="M980" i="1"/>
  <c r="M979" i="1"/>
  <c r="M978" i="1"/>
  <c r="M977" i="1"/>
  <c r="M976" i="1"/>
  <c r="M975" i="1"/>
  <c r="M974" i="1"/>
  <c r="M973" i="1"/>
  <c r="M972" i="1"/>
  <c r="M971" i="1"/>
  <c r="M970" i="1"/>
  <c r="M969" i="1"/>
  <c r="M968" i="1"/>
  <c r="M967" i="1"/>
  <c r="M966" i="1"/>
  <c r="M965" i="1"/>
  <c r="M964" i="1"/>
  <c r="M963" i="1"/>
  <c r="M962" i="1"/>
  <c r="M961" i="1"/>
  <c r="M960" i="1"/>
  <c r="M959" i="1"/>
  <c r="M958" i="1"/>
  <c r="M957" i="1"/>
  <c r="M956" i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M938" i="1"/>
  <c r="M937" i="1"/>
  <c r="M936" i="1"/>
  <c r="M935" i="1"/>
  <c r="M934" i="1"/>
  <c r="M933" i="1"/>
  <c r="M932" i="1"/>
  <c r="M931" i="1"/>
  <c r="M930" i="1"/>
  <c r="M929" i="1"/>
  <c r="M928" i="1"/>
  <c r="M927" i="1"/>
  <c r="M926" i="1"/>
  <c r="M925" i="1"/>
  <c r="M924" i="1"/>
  <c r="M923" i="1"/>
  <c r="M922" i="1"/>
  <c r="M921" i="1"/>
  <c r="M920" i="1"/>
  <c r="M919" i="1"/>
  <c r="M918" i="1"/>
  <c r="M917" i="1"/>
  <c r="M916" i="1"/>
  <c r="M915" i="1"/>
  <c r="M914" i="1"/>
  <c r="M913" i="1"/>
  <c r="M912" i="1"/>
  <c r="M911" i="1"/>
  <c r="M910" i="1"/>
  <c r="M909" i="1"/>
  <c r="M908" i="1"/>
  <c r="M907" i="1"/>
  <c r="M906" i="1"/>
  <c r="M905" i="1"/>
  <c r="M904" i="1"/>
  <c r="M903" i="1"/>
  <c r="M902" i="1"/>
  <c r="M901" i="1"/>
  <c r="M900" i="1"/>
  <c r="M899" i="1"/>
  <c r="M898" i="1"/>
  <c r="M897" i="1"/>
  <c r="M896" i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<sst xmlns="http://schemas.openxmlformats.org/spreadsheetml/2006/main" count="49193" uniqueCount="14206">
  <si>
    <t>Station</t>
  </si>
  <si>
    <t>UTMEast</t>
  </si>
  <si>
    <t>UTMNorth</t>
  </si>
  <si>
    <t>UTMZone</t>
  </si>
  <si>
    <t>Datum</t>
  </si>
  <si>
    <t>PhotoID</t>
  </si>
  <si>
    <t>PhotoTotal</t>
  </si>
  <si>
    <t>RollNo</t>
  </si>
  <si>
    <t>FrameNo</t>
  </si>
  <si>
    <t>RollID</t>
  </si>
  <si>
    <t>Classific</t>
  </si>
  <si>
    <t>Descriptn</t>
  </si>
  <si>
    <t>ImgPathHyp</t>
  </si>
  <si>
    <t>Comments</t>
  </si>
  <si>
    <t>CG86-018</t>
  </si>
  <si>
    <t>NAD27</t>
  </si>
  <si>
    <t>CG86-018.12.jpg</t>
  </si>
  <si>
    <t>87-05</t>
  </si>
  <si>
    <t>05</t>
  </si>
  <si>
    <t>SEP 87T05</t>
  </si>
  <si>
    <t>Outcrop</t>
  </si>
  <si>
    <t>Relict pyroxene in Alexis River anorthosite</t>
  </si>
  <si>
    <t>CG86-019</t>
  </si>
  <si>
    <t>CG86-019.1.jpg</t>
  </si>
  <si>
    <t>86-01</t>
  </si>
  <si>
    <t>21</t>
  </si>
  <si>
    <t>JUL 86T5</t>
  </si>
  <si>
    <t>Coarse-grained leuconorite in Alexis River anorthosite</t>
  </si>
  <si>
    <t>CG86-032</t>
  </si>
  <si>
    <t>CG86-032.jpg</t>
  </si>
  <si>
    <t>24</t>
  </si>
  <si>
    <t>Alexis River anorthosite intruded by pegmatite</t>
  </si>
  <si>
    <t>CG87-488</t>
  </si>
  <si>
    <t>CG87-488.17.jpg</t>
  </si>
  <si>
    <t>87-07</t>
  </si>
  <si>
    <t>06</t>
  </si>
  <si>
    <t>SEP 87T</t>
  </si>
  <si>
    <t>Cross-bedded quartzitic sandstone</t>
  </si>
  <si>
    <t>DD91-047</t>
  </si>
  <si>
    <t>DD91-047.2.jpg</t>
  </si>
  <si>
    <t>91-04</t>
  </si>
  <si>
    <t>09</t>
  </si>
  <si>
    <t>AUG 91C</t>
  </si>
  <si>
    <t>Anorthosite</t>
  </si>
  <si>
    <t>GF81-168</t>
  </si>
  <si>
    <t>GF81-168.jpg</t>
  </si>
  <si>
    <t>81-09</t>
  </si>
  <si>
    <t>34</t>
  </si>
  <si>
    <t>No identity</t>
  </si>
  <si>
    <t>Mealy Mountains monzonite</t>
  </si>
  <si>
    <t>GF81-177</t>
  </si>
  <si>
    <t>GF81-177.jpg</t>
  </si>
  <si>
    <t>35</t>
  </si>
  <si>
    <t>Garnet-rich granitic gneiss</t>
  </si>
  <si>
    <t>CG07-188</t>
  </si>
  <si>
    <t>CG07-188.1.jpg</t>
  </si>
  <si>
    <t>Detail</t>
  </si>
  <si>
    <t>Aplite with pegmatitic core</t>
  </si>
  <si>
    <t>CG84-291</t>
  </si>
  <si>
    <t>CG84-291.3.jpg</t>
  </si>
  <si>
    <t>84-03</t>
  </si>
  <si>
    <t>SEP 84T6</t>
  </si>
  <si>
    <t>Alexis River anorthosite; very coarse grained</t>
  </si>
  <si>
    <t>CG84-292</t>
  </si>
  <si>
    <t>CG84-292.jpg</t>
  </si>
  <si>
    <t>36</t>
  </si>
  <si>
    <t>SN86-146</t>
  </si>
  <si>
    <t>SN86-146.jpg</t>
  </si>
  <si>
    <t>86-18</t>
  </si>
  <si>
    <t>07</t>
  </si>
  <si>
    <t>JUL 86T4</t>
  </si>
  <si>
    <t>Agmatitic amphibolite</t>
  </si>
  <si>
    <t>SN86-151</t>
  </si>
  <si>
    <t>SN86-151.jpg</t>
  </si>
  <si>
    <t>08</t>
  </si>
  <si>
    <t>Fault-offset of metamorphosed mafic dyke in K-feldspar megacrystic granodiorite</t>
  </si>
  <si>
    <t>CG00-144</t>
  </si>
  <si>
    <t>CG00-144.jpg</t>
  </si>
  <si>
    <t>00-01</t>
  </si>
  <si>
    <t>02</t>
  </si>
  <si>
    <t>AUG00MN02</t>
  </si>
  <si>
    <t>Massive, late- to post-Grenvillian granite, Michaels River pluton</t>
  </si>
  <si>
    <t>CG83-305</t>
  </si>
  <si>
    <t>CG83-305.2.jpg</t>
  </si>
  <si>
    <t>83-03</t>
  </si>
  <si>
    <t>10</t>
  </si>
  <si>
    <t>OCT 83T10</t>
  </si>
  <si>
    <t>Metasedimentary gneiss with high leucosome proportion</t>
  </si>
  <si>
    <t>CG04-027</t>
  </si>
  <si>
    <t>CG04-027.2.jpg</t>
  </si>
  <si>
    <t>Pelitic gneiss intruded by Gilbert Bay diabase dyke</t>
  </si>
  <si>
    <t>CG80-238</t>
  </si>
  <si>
    <t>CG80-238.1.jpg</t>
  </si>
  <si>
    <t>80-05</t>
  </si>
  <si>
    <t>12</t>
  </si>
  <si>
    <t>JUL 80T10</t>
  </si>
  <si>
    <t>Quartz diorite then pegmatite then mafic dyke</t>
  </si>
  <si>
    <t>MN86-362</t>
  </si>
  <si>
    <t>MN86-362.jpg</t>
  </si>
  <si>
    <t>86-15</t>
  </si>
  <si>
    <t>AUG 86T1</t>
  </si>
  <si>
    <t>Biotite quartz diorite with minor garnet</t>
  </si>
  <si>
    <t>MN86-363</t>
  </si>
  <si>
    <t>MN86-363.jpg</t>
  </si>
  <si>
    <t>Strongly deformed quartz diorite to amphibolite gneiss. Mylonite</t>
  </si>
  <si>
    <t>CG81-190</t>
  </si>
  <si>
    <t>CG81-190.3.jpg</t>
  </si>
  <si>
    <t>81-02</t>
  </si>
  <si>
    <t>29</t>
  </si>
  <si>
    <t>Wildlife: plant</t>
  </si>
  <si>
    <t>Flowering shrub</t>
  </si>
  <si>
    <t>MC77-062</t>
  </si>
  <si>
    <t>MC77-062.jpg</t>
  </si>
  <si>
    <t>77-02</t>
  </si>
  <si>
    <t>25</t>
  </si>
  <si>
    <t>JUL 77T10</t>
  </si>
  <si>
    <t>Granodioritic gneiss</t>
  </si>
  <si>
    <t>MC77-064</t>
  </si>
  <si>
    <t>MC77-064.1.jpg</t>
  </si>
  <si>
    <t>26</t>
  </si>
  <si>
    <t>Migmatized diorite with two ages of mafic dyke</t>
  </si>
  <si>
    <t>MC77-064.2.jpg</t>
  </si>
  <si>
    <t>27</t>
  </si>
  <si>
    <t>Migmatized quartz diorite</t>
  </si>
  <si>
    <t>MC77-072</t>
  </si>
  <si>
    <t>MC77-072.1.jpg</t>
  </si>
  <si>
    <t>28</t>
  </si>
  <si>
    <t>Cleaved fine-grained granodioritic gneiss</t>
  </si>
  <si>
    <t>MC77-072.4.jpg</t>
  </si>
  <si>
    <t>31</t>
  </si>
  <si>
    <t>Mylonitized K-feldspar megacrystic granitoid rock</t>
  </si>
  <si>
    <t>MC77-072.3.jpg</t>
  </si>
  <si>
    <t>30</t>
  </si>
  <si>
    <t>Strongly deformed K-feldspar megacrystic granitoid rock</t>
  </si>
  <si>
    <t>GM85-536</t>
  </si>
  <si>
    <t>GM85-536.1.jpg</t>
  </si>
  <si>
    <t>85-13</t>
  </si>
  <si>
    <t>04</t>
  </si>
  <si>
    <t>SEP 85</t>
  </si>
  <si>
    <t>Mafic dyke intruding syenite/granite</t>
  </si>
  <si>
    <t>MC77-026</t>
  </si>
  <si>
    <t>MC77-026.1.jpg</t>
  </si>
  <si>
    <t>77-01</t>
  </si>
  <si>
    <t>32</t>
  </si>
  <si>
    <t>JUL 77T2</t>
  </si>
  <si>
    <t>Contact between amphibolitic and granitic gneiss</t>
  </si>
  <si>
    <t>MC77-026.2.jpg</t>
  </si>
  <si>
    <t>33</t>
  </si>
  <si>
    <t>Minor folds in granodioritic gneiss</t>
  </si>
  <si>
    <t>MC77-027</t>
  </si>
  <si>
    <t>MC77-027.1.jpg</t>
  </si>
  <si>
    <t>Ptygmatic veins</t>
  </si>
  <si>
    <t>MC77-027.2.jpg</t>
  </si>
  <si>
    <t>NN84-098</t>
  </si>
  <si>
    <t>NN84-098.1.jpg</t>
  </si>
  <si>
    <t>84-09</t>
  </si>
  <si>
    <t>SEP 84T4</t>
  </si>
  <si>
    <t>Alexis River anorthosite, featuring large plagioclase laths and mafic clots</t>
  </si>
  <si>
    <t>NN84-098.2.jpg</t>
  </si>
  <si>
    <t>Alexis River anorthosite with mafic clots</t>
  </si>
  <si>
    <t>NN84-100</t>
  </si>
  <si>
    <t>NN84-100.jpg</t>
  </si>
  <si>
    <t>Alexis River anorthosite with hornblende coronas around pyroxene</t>
  </si>
  <si>
    <t>CG07-124</t>
  </si>
  <si>
    <t>CG07-124.jpg</t>
  </si>
  <si>
    <t>Calc-silicate rock with open-folded pegmatite</t>
  </si>
  <si>
    <t>CG07-125</t>
  </si>
  <si>
    <t>CG07-125.jpg</t>
  </si>
  <si>
    <t>Calc-silicate rock</t>
  </si>
  <si>
    <t>CG07-126</t>
  </si>
  <si>
    <t>CG07-126.jpg</t>
  </si>
  <si>
    <t>Quartz pod</t>
  </si>
  <si>
    <t>CG07-127</t>
  </si>
  <si>
    <t>CG07-127.jpg</t>
  </si>
  <si>
    <t>CG07-128</t>
  </si>
  <si>
    <t>CG07-128.1.jpg</t>
  </si>
  <si>
    <t>Pegmatites showing bayonet and jog features</t>
  </si>
  <si>
    <t>CG07-128.2.jpg</t>
  </si>
  <si>
    <t>CG07-129</t>
  </si>
  <si>
    <t>CG07-129.jpg</t>
  </si>
  <si>
    <t>Pegmatites showing anastamosing features</t>
  </si>
  <si>
    <t>CG07-130</t>
  </si>
  <si>
    <t>CG07-130.1.jpg</t>
  </si>
  <si>
    <t>Psammite with cross bedding</t>
  </si>
  <si>
    <t>CG07-130.2.jpg</t>
  </si>
  <si>
    <t>Psammite with hornblende porphyroblasts</t>
  </si>
  <si>
    <t>CG07-132</t>
  </si>
  <si>
    <t>CG07-132.1.jpg</t>
  </si>
  <si>
    <t>Amphibolite (light and dark varieties)</t>
  </si>
  <si>
    <t>CG07-132.2.jpg</t>
  </si>
  <si>
    <t>Calc-silicate lens between amphibolites</t>
  </si>
  <si>
    <t>MC77-015</t>
  </si>
  <si>
    <t>MC77-015.2.jpg</t>
  </si>
  <si>
    <t>Amphibolitic agmatite in Earl Island quartz diorite</t>
  </si>
  <si>
    <t>MC77-015.1.jpg</t>
  </si>
  <si>
    <t>20</t>
  </si>
  <si>
    <t>MC77-020</t>
  </si>
  <si>
    <t>MC77-020.jpg</t>
  </si>
  <si>
    <t>Agmatitic Earl Island quartz diorite</t>
  </si>
  <si>
    <t>CG86-114</t>
  </si>
  <si>
    <t>CG86-114.2.jpg</t>
  </si>
  <si>
    <t>86-03</t>
  </si>
  <si>
    <t>JUL 86T3</t>
  </si>
  <si>
    <t>Nebulitic granodiorite with enclaves</t>
  </si>
  <si>
    <t>CG86-114.4.jpg</t>
  </si>
  <si>
    <t>CG86-114.5.jpg</t>
  </si>
  <si>
    <t>AD79-078</t>
  </si>
  <si>
    <t>AD79-078.2.jpg</t>
  </si>
  <si>
    <t>79-15</t>
  </si>
  <si>
    <t>13</t>
  </si>
  <si>
    <t>AUG 79T10</t>
  </si>
  <si>
    <t>Compositional banding; megaboudin structure in strongly foliated granite</t>
  </si>
  <si>
    <t>AD79-088</t>
  </si>
  <si>
    <t>AD79-088.2.jpg</t>
  </si>
  <si>
    <t>16</t>
  </si>
  <si>
    <t>Pyroxenite and BC</t>
  </si>
  <si>
    <t>AD79-088.1.jpg</t>
  </si>
  <si>
    <t>15</t>
  </si>
  <si>
    <t>Texture in pyroxenite</t>
  </si>
  <si>
    <t>CG81-347</t>
  </si>
  <si>
    <t>CG81-347.jpg</t>
  </si>
  <si>
    <t>81-04</t>
  </si>
  <si>
    <t>17</t>
  </si>
  <si>
    <t>Curlew Harbour metasedimentary gneiss and HN</t>
  </si>
  <si>
    <t>CG83-053</t>
  </si>
  <si>
    <t>CG83-053.jpg</t>
  </si>
  <si>
    <t>83-</t>
  </si>
  <si>
    <t>JUL 83T5</t>
  </si>
  <si>
    <t>Scene</t>
  </si>
  <si>
    <t>Swamp N. of Double Mer White Hills (location unceertain)</t>
  </si>
  <si>
    <t>CG03-288</t>
  </si>
  <si>
    <t>CG03-288.2.jpg</t>
  </si>
  <si>
    <t>Chalcopyrite in pegmatite (boulder)</t>
  </si>
  <si>
    <t>CG03-302</t>
  </si>
  <si>
    <t>CG03-302.1.jpg</t>
  </si>
  <si>
    <t>Specular hematite in fracture</t>
  </si>
  <si>
    <t>CG03-302.2.jpg</t>
  </si>
  <si>
    <t>Fluorite on fracture plane</t>
  </si>
  <si>
    <t>CG03-224</t>
  </si>
  <si>
    <t>CG03-224.1.jpg</t>
  </si>
  <si>
    <t>Allanite in pegmatite</t>
  </si>
  <si>
    <t>CG03-224.2.jpg</t>
  </si>
  <si>
    <t>CG03-224.3.jpg</t>
  </si>
  <si>
    <t>Alexis River leucogabbronorite</t>
  </si>
  <si>
    <t>CG03-224.4.jpg</t>
  </si>
  <si>
    <t>Alexis River leucogabbronorite - sulphide</t>
  </si>
  <si>
    <t>CG03-224.5.jpg</t>
  </si>
  <si>
    <t>AD79-027</t>
  </si>
  <si>
    <t>AD79-027.1.jpg</t>
  </si>
  <si>
    <t>79-12</t>
  </si>
  <si>
    <t>JUL 79T5</t>
  </si>
  <si>
    <t>Cumulate layering in syenite</t>
  </si>
  <si>
    <t>AD79-027.2.jpg</t>
  </si>
  <si>
    <t>Partially assimilated mafic dyke breccia in syenite</t>
  </si>
  <si>
    <t>AD79-034</t>
  </si>
  <si>
    <t>AD79-034.2.jpg</t>
  </si>
  <si>
    <t>Small pillows or subaqueous extension of dyke rock</t>
  </si>
  <si>
    <t>CG98-156</t>
  </si>
  <si>
    <t>CG98-156.jpg</t>
  </si>
  <si>
    <t>98-01</t>
  </si>
  <si>
    <t>AUG 98MN01</t>
  </si>
  <si>
    <t>Anorthosite with pyroxenite vein</t>
  </si>
  <si>
    <t>AD79-034.3.jpg</t>
  </si>
  <si>
    <t>Pillow structures in dyke rock</t>
  </si>
  <si>
    <t>AD79-034.1.jpg</t>
  </si>
  <si>
    <t>Pillow breccia - extrusive subaqueous dyke rock, possible lamprophyre</t>
  </si>
  <si>
    <t>CG83-502</t>
  </si>
  <si>
    <t>CG83-502.1.jpg</t>
  </si>
  <si>
    <t>83-02</t>
  </si>
  <si>
    <t>AUG 83T2</t>
  </si>
  <si>
    <t>Michael gabbro</t>
  </si>
  <si>
    <t>in UTM zone 20</t>
  </si>
  <si>
    <t>CG83-502.2.jpg</t>
  </si>
  <si>
    <t>Mealy Mountains from the east, with PK</t>
  </si>
  <si>
    <t>CG83-590</t>
  </si>
  <si>
    <t>CG83-590.2.jpg</t>
  </si>
  <si>
    <t>Enclaves of fine-grained granite (Crooked River type) in Walker Lake quartz monzonite</t>
  </si>
  <si>
    <t>CG83-602</t>
  </si>
  <si>
    <t>CG83-602.1.jpg</t>
  </si>
  <si>
    <t>Mela-amphibolite enclaves in leucosome</t>
  </si>
  <si>
    <t>CG83-602.2.jpg</t>
  </si>
  <si>
    <t>03</t>
  </si>
  <si>
    <t>Metagabbro and amphibolite-leucosome agmatite</t>
  </si>
  <si>
    <t>CG83-616</t>
  </si>
  <si>
    <t>CG83-616.jpg</t>
  </si>
  <si>
    <t>Isoclinal folding in gneiss</t>
  </si>
  <si>
    <t>CG86-709</t>
  </si>
  <si>
    <t>CG86-709.jpg</t>
  </si>
  <si>
    <t>86-07</t>
  </si>
  <si>
    <t>AUG 86T4</t>
  </si>
  <si>
    <t>Net-veined mafic dyke</t>
  </si>
  <si>
    <t>CG86-715</t>
  </si>
  <si>
    <t>CG86-715.jpg</t>
  </si>
  <si>
    <t>86-08</t>
  </si>
  <si>
    <t>01</t>
  </si>
  <si>
    <t>FEB</t>
  </si>
  <si>
    <t>Dextral transposition of fabric in K-feldspar megacrystic granodiorite</t>
  </si>
  <si>
    <t>MN86-149</t>
  </si>
  <si>
    <t>MN86-149.jpg</t>
  </si>
  <si>
    <t>86-13</t>
  </si>
  <si>
    <t>AUG 86</t>
  </si>
  <si>
    <t>Agmatitic ultramafic/mafic pod</t>
  </si>
  <si>
    <t>MN86-171</t>
  </si>
  <si>
    <t>MN86-171.1.jpg</t>
  </si>
  <si>
    <t>19</t>
  </si>
  <si>
    <t>Granite intruding deformed K-feldspar megacrystic granite</t>
  </si>
  <si>
    <t>VN87-115</t>
  </si>
  <si>
    <t>VN87-115.jpg</t>
  </si>
  <si>
    <t>87-14</t>
  </si>
  <si>
    <t>AUG 87</t>
  </si>
  <si>
    <t>Late asymmetric shear zone in biotite hornblende granite</t>
  </si>
  <si>
    <t>VN87-121</t>
  </si>
  <si>
    <t>VN87-121.jpg</t>
  </si>
  <si>
    <t>Recrystallized K-feldspar megacrysts in biotite hornblende granite</t>
  </si>
  <si>
    <t>VN87-122</t>
  </si>
  <si>
    <t>VN87-122.jpg</t>
  </si>
  <si>
    <t>Well-banded quartz diorite gneiss with small asymmetric Z-fold</t>
  </si>
  <si>
    <t>VN87-127</t>
  </si>
  <si>
    <t>VN87-127.4.jpg</t>
  </si>
  <si>
    <t>Mary's Harbour crab boats</t>
  </si>
  <si>
    <t>DD91-056</t>
  </si>
  <si>
    <t>DD91-056.2.jpg</t>
  </si>
  <si>
    <t>K-feldspar megacrystic granite</t>
  </si>
  <si>
    <t>DD91-056.4.jpg</t>
  </si>
  <si>
    <t>Pegmatite intruding K-feldspar megacrystic granite</t>
  </si>
  <si>
    <t>DD91-056.3.jpg</t>
  </si>
  <si>
    <t>DD91-056.1.jpg</t>
  </si>
  <si>
    <t>CG03-224.6.jpg</t>
  </si>
  <si>
    <t>Pegmatite in Alexis River anorthosite</t>
  </si>
  <si>
    <t>CG03-224.7.jpg</t>
  </si>
  <si>
    <t>CG03-224.8.jpg</t>
  </si>
  <si>
    <t>Alexis River anorthosite - an excellent source of calcium</t>
  </si>
  <si>
    <t>CG03-224.9.jpg</t>
  </si>
  <si>
    <t>CG03-224.10.jpg</t>
  </si>
  <si>
    <t>Epidote in pegmatite</t>
  </si>
  <si>
    <t>CG04-141</t>
  </si>
  <si>
    <t>CG04-141.4.jpg</t>
  </si>
  <si>
    <t>Rotated feldspar - dextral</t>
  </si>
  <si>
    <t>CG04-141.5.jpg</t>
  </si>
  <si>
    <t>CG04-141.6.jpg</t>
  </si>
  <si>
    <t>CG04-141.7.jpg</t>
  </si>
  <si>
    <t>CG04-141.8.jpg</t>
  </si>
  <si>
    <t>CG04-141.9.jpg</t>
  </si>
  <si>
    <t>CG03-238</t>
  </si>
  <si>
    <t>CG03-238.1.jpg</t>
  </si>
  <si>
    <t>Abundant garnet in metasedimentary gneiss</t>
  </si>
  <si>
    <t>AD79-024</t>
  </si>
  <si>
    <t>AD79-024.4.jpg</t>
  </si>
  <si>
    <t>Granite with mafic schlieren</t>
  </si>
  <si>
    <t>AD79-025</t>
  </si>
  <si>
    <t>AD79-025.2.jpg</t>
  </si>
  <si>
    <t>Acicular hornblende in felsic differentiate of gabbro (appinite)</t>
  </si>
  <si>
    <t>AD79-053</t>
  </si>
  <si>
    <t>AD79-053.1.jpg</t>
  </si>
  <si>
    <t>79-13</t>
  </si>
  <si>
    <t>JUL 79T3</t>
  </si>
  <si>
    <t>Pegmatite</t>
  </si>
  <si>
    <t>AD79-053.2.jpg</t>
  </si>
  <si>
    <t>AD79-054</t>
  </si>
  <si>
    <t>AD79-054.jpg</t>
  </si>
  <si>
    <t>22</t>
  </si>
  <si>
    <t>Gneissic xenolith in fine-grained granite to quartz monzonite</t>
  </si>
  <si>
    <t>AD79-058</t>
  </si>
  <si>
    <t>AD79-058.2.jpg</t>
  </si>
  <si>
    <t>Large pillar of grey equigranular granite</t>
  </si>
  <si>
    <t>AD79-059</t>
  </si>
  <si>
    <t>AD79-059.jpg</t>
  </si>
  <si>
    <t>39</t>
  </si>
  <si>
    <t>Mafic dyke in banded quartzite</t>
  </si>
  <si>
    <t>AD79-060</t>
  </si>
  <si>
    <t>AD79-060.jpg</t>
  </si>
  <si>
    <t>79-14</t>
  </si>
  <si>
    <t>Calcite (orange) in felsic volcanic rocks</t>
  </si>
  <si>
    <t>AD79-066</t>
  </si>
  <si>
    <t>AD79-066.3.jpg</t>
  </si>
  <si>
    <t>11</t>
  </si>
  <si>
    <t>Aillik Group metasediment</t>
  </si>
  <si>
    <t>AD79-066.2.jpg</t>
  </si>
  <si>
    <t>Aillik Group banded supracrustal rocks and gabbro</t>
  </si>
  <si>
    <t>AD79-066.1.jpg</t>
  </si>
  <si>
    <t>Aplite or Aillik Group metasedimentary rocks</t>
  </si>
  <si>
    <t>AD79-068</t>
  </si>
  <si>
    <t>AD79-068.jpg</t>
  </si>
  <si>
    <t>Gabbro intruded by aplite veins</t>
  </si>
  <si>
    <t>AD79-069</t>
  </si>
  <si>
    <t>AD79-069.jpg</t>
  </si>
  <si>
    <t>14</t>
  </si>
  <si>
    <t>Unfoliated grey granite</t>
  </si>
  <si>
    <t>AD79-071</t>
  </si>
  <si>
    <t>AD79-071.jpg</t>
  </si>
  <si>
    <t>Coarse- and fine-grained gabbro</t>
  </si>
  <si>
    <t>AD79-078.1.jpg</t>
  </si>
  <si>
    <t>Xenoliths of gabbro in granodiorite</t>
  </si>
  <si>
    <t>DD91-059</t>
  </si>
  <si>
    <t>DD91-059.jpg</t>
  </si>
  <si>
    <t>DD91-064</t>
  </si>
  <si>
    <t>DD91-064.1.jpg</t>
  </si>
  <si>
    <t>Strongly foliated garnetiferous metagabbro/diorite</t>
  </si>
  <si>
    <t>DD91-064.2.jpg</t>
  </si>
  <si>
    <t>DD91-067</t>
  </si>
  <si>
    <t>DD91-067.3.jpg</t>
  </si>
  <si>
    <t>37</t>
  </si>
  <si>
    <t>Foliated, megacrystic diorite</t>
  </si>
  <si>
    <t>DD91-067.2.jpg</t>
  </si>
  <si>
    <t>DD91-067.1.jpg</t>
  </si>
  <si>
    <t>DD91-068</t>
  </si>
  <si>
    <t>DD91-068.2.jpg</t>
  </si>
  <si>
    <t>Coarse-grained diorite</t>
  </si>
  <si>
    <t>DD91-068.1.jpg</t>
  </si>
  <si>
    <t>38</t>
  </si>
  <si>
    <t>DD91-072</t>
  </si>
  <si>
    <t>DD91-072.2.jpg</t>
  </si>
  <si>
    <t>91-05</t>
  </si>
  <si>
    <t>AUG 91E</t>
  </si>
  <si>
    <t>Strongly foliated, magnetite-rich granodiorite</t>
  </si>
  <si>
    <t>DD91-072.1.jpg</t>
  </si>
  <si>
    <t>DD91-051</t>
  </si>
  <si>
    <t>DD91-051.2.jpg</t>
  </si>
  <si>
    <t>18</t>
  </si>
  <si>
    <t>Agmatized mafic gneiss</t>
  </si>
  <si>
    <t>AD79-212</t>
  </si>
  <si>
    <t>AD79-212.jpg</t>
  </si>
  <si>
    <t>79-17</t>
  </si>
  <si>
    <t>AUG 79T3</t>
  </si>
  <si>
    <t>Moderately foliated quartz monzonite</t>
  </si>
  <si>
    <t>AD79-219</t>
  </si>
  <si>
    <t>AD79-219.1.jpg</t>
  </si>
  <si>
    <t>79-18</t>
  </si>
  <si>
    <t>AUG 79T6</t>
  </si>
  <si>
    <t>Fragmented mafic dyke in K-feldspar megacrystic granite</t>
  </si>
  <si>
    <t>AD79-219.2.jpg</t>
  </si>
  <si>
    <t>AD79-219.3.jpg</t>
  </si>
  <si>
    <t>Small fault displacing pegmatite veins</t>
  </si>
  <si>
    <t>AD79-219.4.jpg</t>
  </si>
  <si>
    <t>Gabbro intruding granite</t>
  </si>
  <si>
    <t>AD79-223</t>
  </si>
  <si>
    <t>AD79-223.jpg</t>
  </si>
  <si>
    <t>Iron stained biotite granite</t>
  </si>
  <si>
    <t>AD79-224</t>
  </si>
  <si>
    <t>AD79-224.2.jpg</t>
  </si>
  <si>
    <t>Sheared granite</t>
  </si>
  <si>
    <t>CG81-081</t>
  </si>
  <si>
    <t>CG81-081.6.jpg</t>
  </si>
  <si>
    <t>81-01</t>
  </si>
  <si>
    <t>Double Mer Formation - Sandwich Bay conglomerate</t>
  </si>
  <si>
    <t>CG03-238.2.jpg</t>
  </si>
  <si>
    <t>Partial melt of metasedimentary gneiss</t>
  </si>
  <si>
    <t>CG03-243</t>
  </si>
  <si>
    <t>CG03-243.1.jpg</t>
  </si>
  <si>
    <t>Gabbronorite</t>
  </si>
  <si>
    <t>CG03-243.2.jpg</t>
  </si>
  <si>
    <t>Gossan</t>
  </si>
  <si>
    <t>CG03-243.3.jpg</t>
  </si>
  <si>
    <t>CG03-371</t>
  </si>
  <si>
    <t>CG03-371.2.jpg</t>
  </si>
  <si>
    <t>Kinematic indicator, Top to right (southwest)</t>
  </si>
  <si>
    <t>CG03-354</t>
  </si>
  <si>
    <t>CG03-354.1.jpg</t>
  </si>
  <si>
    <t>Sheared megacrystic granitoid rock</t>
  </si>
  <si>
    <t>CG03-354.2.jpg</t>
  </si>
  <si>
    <t>Megacrystic granitoid rock</t>
  </si>
  <si>
    <t>CG03-354.3.jpg</t>
  </si>
  <si>
    <t>Long Range dyke</t>
  </si>
  <si>
    <t>CG03-354.5.jpg</t>
  </si>
  <si>
    <t>CG03-354.6.jpg</t>
  </si>
  <si>
    <t>CG03-354.7.jpg</t>
  </si>
  <si>
    <t>CG03-354.8.jpg</t>
  </si>
  <si>
    <t>CG03-354.9.jpg</t>
  </si>
  <si>
    <t>Paleomagnetic site for Long Range dyke</t>
  </si>
  <si>
    <t>CG03-354.10.jpg</t>
  </si>
  <si>
    <t>CG04-237</t>
  </si>
  <si>
    <t>CG04-237.1.jpg</t>
  </si>
  <si>
    <t>Alexis River anorthosite - corona textures</t>
  </si>
  <si>
    <t>CG04-237.2.jpg</t>
  </si>
  <si>
    <t>CG04-237.3.jpg</t>
  </si>
  <si>
    <t>CG04-237.4.jpg</t>
  </si>
  <si>
    <t>CG04-237.5.jpg</t>
  </si>
  <si>
    <t>Alexis River anorthosite - mafic dyke</t>
  </si>
  <si>
    <t>CG04-237.6.jpg</t>
  </si>
  <si>
    <t>CG04-237.7.jpg</t>
  </si>
  <si>
    <t>CG04-196</t>
  </si>
  <si>
    <t>CG04-196.3.jpg</t>
  </si>
  <si>
    <t>Spruce seedling struggling for survival - 2011</t>
  </si>
  <si>
    <t>CG04-196.4.jpg</t>
  </si>
  <si>
    <t>CG04-196.5.jpg</t>
  </si>
  <si>
    <t>CG04-196.6.jpg</t>
  </si>
  <si>
    <t>CG04-196.7.jpg</t>
  </si>
  <si>
    <t>CG04-029</t>
  </si>
  <si>
    <t>CG04-029.jpg</t>
  </si>
  <si>
    <t>Gilbert Bay dyke discordantly intruding older gneiss</t>
  </si>
  <si>
    <t>CG09-047</t>
  </si>
  <si>
    <t>CG09-047.jpg</t>
  </si>
  <si>
    <t>Monzogabbronorite</t>
  </si>
  <si>
    <t>CG10-013</t>
  </si>
  <si>
    <t>CG10-013.1.jpg</t>
  </si>
  <si>
    <t>No-Name Lake mafic intrusion</t>
  </si>
  <si>
    <t>CG10-013.2.jpg</t>
  </si>
  <si>
    <t>Sulphide mineralization in pegmatite</t>
  </si>
  <si>
    <t>CG10-013.3.jpg</t>
  </si>
  <si>
    <t>Hornblende in pegmatite</t>
  </si>
  <si>
    <t>CG10-013.4.jpg</t>
  </si>
  <si>
    <t>CG09-009</t>
  </si>
  <si>
    <t>CG09-009.jpg</t>
  </si>
  <si>
    <t>Granitoid rock</t>
  </si>
  <si>
    <t>CG08-048</t>
  </si>
  <si>
    <t>CG08-048.1.jpg</t>
  </si>
  <si>
    <t>Granitoid gneiss</t>
  </si>
  <si>
    <t>CG08-048.2.jpg</t>
  </si>
  <si>
    <t>CG07-027</t>
  </si>
  <si>
    <t>CG07-027.jpg</t>
  </si>
  <si>
    <t>CG07-023</t>
  </si>
  <si>
    <t>CG07-023.6.jpg</t>
  </si>
  <si>
    <t>Gravity collapse structures</t>
  </si>
  <si>
    <t>CG07-023.7.jpg</t>
  </si>
  <si>
    <t>CG07-023.8.jpg</t>
  </si>
  <si>
    <t>CG07-031</t>
  </si>
  <si>
    <t>CG07-031.1.jpg</t>
  </si>
  <si>
    <t>CG07-012</t>
  </si>
  <si>
    <t>CG07-012.jpg</t>
  </si>
  <si>
    <t>Middle Eagle River pluton</t>
  </si>
  <si>
    <t>AD79-130a</t>
  </si>
  <si>
    <t>AD79-130a.jpg</t>
  </si>
  <si>
    <t>Deformed granite, mafic dykes and possible Aillik Group metasediments</t>
  </si>
  <si>
    <t>VN93-662</t>
  </si>
  <si>
    <t>VN93-662.12.jpg</t>
  </si>
  <si>
    <t>York Point mafic dyke discordant to fabric in host rock</t>
  </si>
  <si>
    <t>VN93-662.13.jpg</t>
  </si>
  <si>
    <t>York Point granite mylonitic fabric</t>
  </si>
  <si>
    <t>VN93-662.14.jpg</t>
  </si>
  <si>
    <t>York Point granite melt pods</t>
  </si>
  <si>
    <t>VN93-662.15.jpg</t>
  </si>
  <si>
    <t>York Point mafic dyke with helicopter in background</t>
  </si>
  <si>
    <t>VN93-662.16.jpg</t>
  </si>
  <si>
    <t>VN93-661</t>
  </si>
  <si>
    <t>VN93-661.3.jpg</t>
  </si>
  <si>
    <t>Human interest</t>
  </si>
  <si>
    <t>RM on ice</t>
  </si>
  <si>
    <t>VN93-661.4.jpg</t>
  </si>
  <si>
    <t>York Point mafic dyke fractured and altered</t>
  </si>
  <si>
    <t>VN93-661.5.jpg</t>
  </si>
  <si>
    <t>VN93-661.6.jpg</t>
  </si>
  <si>
    <t>York Point mafic dyke fracture filling</t>
  </si>
  <si>
    <t>VN93-661.7.jpg</t>
  </si>
  <si>
    <t>VN93-661.8.jpg</t>
  </si>
  <si>
    <t>VN93-661.9.jpg</t>
  </si>
  <si>
    <t>RM on ice bridge</t>
  </si>
  <si>
    <t>VN93-661.10.jpg</t>
  </si>
  <si>
    <t>York Point mafic dyke</t>
  </si>
  <si>
    <t>VN93-661.12.jpg</t>
  </si>
  <si>
    <t>York Point mafic dyke discordant to host rock fabric</t>
  </si>
  <si>
    <t>VN93-661.13.jpg</t>
  </si>
  <si>
    <t>CC87-100</t>
  </si>
  <si>
    <t>CC87-100.2.jpg</t>
  </si>
  <si>
    <t>Vein quartz breccia</t>
  </si>
  <si>
    <t>VN95-060</t>
  </si>
  <si>
    <t>VN95-060.3.jpg</t>
  </si>
  <si>
    <t>95-04</t>
  </si>
  <si>
    <t>AUG 95N10</t>
  </si>
  <si>
    <t>Granodioritic gneiss: geochron. sampling site</t>
  </si>
  <si>
    <t>VN95-060.1.jpg</t>
  </si>
  <si>
    <t>VN95-074</t>
  </si>
  <si>
    <t>VN95-074.1.jpg</t>
  </si>
  <si>
    <t>95-07</t>
  </si>
  <si>
    <t>JUL 95N12</t>
  </si>
  <si>
    <t>Coarse-grained, recrystallized quartz monzonite</t>
  </si>
  <si>
    <t>VN95-074.2.jpg</t>
  </si>
  <si>
    <t>Gneissic banding in coarse-grained quartz monzonite</t>
  </si>
  <si>
    <t>CG93-183</t>
  </si>
  <si>
    <t>CG93-183.3.jpg</t>
  </si>
  <si>
    <t>93-03</t>
  </si>
  <si>
    <t>JUL 93C</t>
  </si>
  <si>
    <t>In-situ migmatitic melting</t>
  </si>
  <si>
    <t>CG93-183.1.jpg</t>
  </si>
  <si>
    <t>Cross-cutting pegmatitic segregations</t>
  </si>
  <si>
    <t>CG93-183.2.jpg</t>
  </si>
  <si>
    <t>Cross-cutting patterns of migmatitic segregations</t>
  </si>
  <si>
    <t>CG93-188</t>
  </si>
  <si>
    <t>CG93-188.jpg</t>
  </si>
  <si>
    <t>Texture in granite</t>
  </si>
  <si>
    <t>CG93-200</t>
  </si>
  <si>
    <t>CG93-200.jpg</t>
  </si>
  <si>
    <t>Ductile deformation zone transecting alkali-feldspar granite</t>
  </si>
  <si>
    <t>CG93-201</t>
  </si>
  <si>
    <t>CG93-201.2.jpg</t>
  </si>
  <si>
    <t>Enclave of seriate-textured granodiorite in deformed syenitic/granitic dyke</t>
  </si>
  <si>
    <t>CG93-201.1.jpg</t>
  </si>
  <si>
    <t>Enclave of fine-grained granodiorite in coarse-grained granodiorite</t>
  </si>
  <si>
    <t>CG93-204</t>
  </si>
  <si>
    <t>CG93-204.2.jpg</t>
  </si>
  <si>
    <t>Amphibolite margin; see photo CG93-204.1</t>
  </si>
  <si>
    <t>CG93-204.1.jpg</t>
  </si>
  <si>
    <t>Granodiorite or quartz diorite with amphibolite screen</t>
  </si>
  <si>
    <t>CG93-204.3.jpg</t>
  </si>
  <si>
    <t>Dextral shear zone in granite</t>
  </si>
  <si>
    <t>CG93-204.4.jpg</t>
  </si>
  <si>
    <t>Microgranite transposed into shear zone; see photo CG93-204.3</t>
  </si>
  <si>
    <t>CG93-206</t>
  </si>
  <si>
    <t>CG93-206.2.jpg</t>
  </si>
  <si>
    <t>Quartz syenite with pegmatite intruded by grey granodiorite to quartz diorite</t>
  </si>
  <si>
    <t>CC87-100.3.jpg</t>
  </si>
  <si>
    <t>RM and SS</t>
  </si>
  <si>
    <t>CG93-077</t>
  </si>
  <si>
    <t>CG93-077.2.jpg</t>
  </si>
  <si>
    <t>Magnetite samples from pegmatite</t>
  </si>
  <si>
    <t>VN85-241</t>
  </si>
  <si>
    <t>VN85-241.jpg</t>
  </si>
  <si>
    <t>Muscovite samples from pegmatite</t>
  </si>
  <si>
    <t>AD79-009</t>
  </si>
  <si>
    <t>AD79-009.4.jpg</t>
  </si>
  <si>
    <t>79-11</t>
  </si>
  <si>
    <t>JUL 79T6</t>
  </si>
  <si>
    <t>Trough cross-bedding in sandstone of Manak Bay Formation</t>
  </si>
  <si>
    <t>DD91-046</t>
  </si>
  <si>
    <t>DD91-046.4.jpg</t>
  </si>
  <si>
    <t>Amphibolite enclaves in gneiss</t>
  </si>
  <si>
    <t>DD91-046.2.jpg</t>
  </si>
  <si>
    <t>91-03</t>
  </si>
  <si>
    <t>Granodiorite gneiss</t>
  </si>
  <si>
    <t>DD91-046.3.jpg</t>
  </si>
  <si>
    <t>DD91-046.1.jpg</t>
  </si>
  <si>
    <t>NN80-156</t>
  </si>
  <si>
    <t>NN80-156.1.jpg</t>
  </si>
  <si>
    <t>80-14</t>
  </si>
  <si>
    <t>JUL 80T5</t>
  </si>
  <si>
    <t>Folds in gneiss</t>
  </si>
  <si>
    <t>CG85-547</t>
  </si>
  <si>
    <t>CG85-547.2.jpg</t>
  </si>
  <si>
    <t>85-06</t>
  </si>
  <si>
    <t>SEP 85T3</t>
  </si>
  <si>
    <t>Shear zone within gabbro</t>
  </si>
  <si>
    <t>MC77-090</t>
  </si>
  <si>
    <t>MC77-090.jpg</t>
  </si>
  <si>
    <t>77-03</t>
  </si>
  <si>
    <t>AUG 77T3</t>
  </si>
  <si>
    <t>Flaggy gneiss</t>
  </si>
  <si>
    <t>MC77-092</t>
  </si>
  <si>
    <t>MC77-092.2.jpg</t>
  </si>
  <si>
    <t>Metasedimentary(?) gneiss</t>
  </si>
  <si>
    <t>MC77-092.1.jpg</t>
  </si>
  <si>
    <t>Mylonitic gneiss</t>
  </si>
  <si>
    <t>MC77-093</t>
  </si>
  <si>
    <t>MC77-093.jpg</t>
  </si>
  <si>
    <t>Metasedimentary gneiss</t>
  </si>
  <si>
    <t>MC77-097</t>
  </si>
  <si>
    <t>MC77-097.1.jpg</t>
  </si>
  <si>
    <t>Mylonitic granodiorite/tonalite gneiss</t>
  </si>
  <si>
    <t>MC77-097.2.jpg</t>
  </si>
  <si>
    <t>23</t>
  </si>
  <si>
    <t>Mylonitic granodiorite/diorite gneiss</t>
  </si>
  <si>
    <t>NN80-064</t>
  </si>
  <si>
    <t>NN80-064.2.jpg</t>
  </si>
  <si>
    <t>80-11</t>
  </si>
  <si>
    <t>JUL 80T6</t>
  </si>
  <si>
    <t>Nose of recumbent fold and migmatized gneiss, and MT</t>
  </si>
  <si>
    <t>CG86-107</t>
  </si>
  <si>
    <t>CG86-107.jpg</t>
  </si>
  <si>
    <t>86-02</t>
  </si>
  <si>
    <t>JUL 86T1</t>
  </si>
  <si>
    <t>Quartz syenite interlayered with gabbronorite</t>
  </si>
  <si>
    <t>CG85-548</t>
  </si>
  <si>
    <t>CG85-548.1.jpg</t>
  </si>
  <si>
    <t>Plagioclase-phyric mafic dyke</t>
  </si>
  <si>
    <t>MC77-010</t>
  </si>
  <si>
    <t>MC77-010.3.jpg</t>
  </si>
  <si>
    <t>Jointing in quartzofeldspathic gneisses</t>
  </si>
  <si>
    <t>MC77-010.1.jpg</t>
  </si>
  <si>
    <t>Minor folds outlined by leucogranite vein in granodioritic gneiss</t>
  </si>
  <si>
    <t>MC77-010.2.jpg</t>
  </si>
  <si>
    <t>Minor folds in granodiorite / quartz diorite</t>
  </si>
  <si>
    <t>MC77-033</t>
  </si>
  <si>
    <t>MC77-033.1.jpg</t>
  </si>
  <si>
    <t>Migmatitic amphibolite - quartz diorite</t>
  </si>
  <si>
    <t>MC77-033.2.jpg</t>
  </si>
  <si>
    <t>Quartz diorite with abundant mafic enclaves</t>
  </si>
  <si>
    <t>MC77-035</t>
  </si>
  <si>
    <t>MC77-035.1.jpg</t>
  </si>
  <si>
    <t>Long Range dyke, with cogenetic minor dyke intruding it</t>
  </si>
  <si>
    <t>MC77-035.3.jpg</t>
  </si>
  <si>
    <t>MC77-035.2.jpg</t>
  </si>
  <si>
    <t>Long Range dyke texture</t>
  </si>
  <si>
    <t>AD79-268</t>
  </si>
  <si>
    <t>AD79-268.jpg</t>
  </si>
  <si>
    <t>79-19</t>
  </si>
  <si>
    <t>SEP 79T3</t>
  </si>
  <si>
    <t>K-feldspar megacrystic granitoid rock intruded by mafic dyke then faulted</t>
  </si>
  <si>
    <t>AD79-278</t>
  </si>
  <si>
    <t>AD79-278.jpg</t>
  </si>
  <si>
    <t>Granulite</t>
  </si>
  <si>
    <t>AD79-295</t>
  </si>
  <si>
    <t>AD79-295.1.jpg</t>
  </si>
  <si>
    <t>79-20</t>
  </si>
  <si>
    <t>SEP 79T2</t>
  </si>
  <si>
    <t>Granodiorite porphyry?</t>
  </si>
  <si>
    <t>AD79-295.2.jpg</t>
  </si>
  <si>
    <t>CG79-275</t>
  </si>
  <si>
    <t>CG79-275.jpg</t>
  </si>
  <si>
    <t>79-04</t>
  </si>
  <si>
    <t>Layering in syenitic rocks</t>
  </si>
  <si>
    <t>CG79-281</t>
  </si>
  <si>
    <t>CG79-281.2.jpg</t>
  </si>
  <si>
    <t>79-05</t>
  </si>
  <si>
    <t>Drying out equipment after swamping boat 2</t>
  </si>
  <si>
    <t>CG79-281.1.jpg</t>
  </si>
  <si>
    <t>Drying out equipment after swamping boat 1</t>
  </si>
  <si>
    <t>CG79-287</t>
  </si>
  <si>
    <t>CG79-287.1.jpg</t>
  </si>
  <si>
    <t>Granite intruded by syenite</t>
  </si>
  <si>
    <t>CG79-287.2.jpg</t>
  </si>
  <si>
    <t>Contact between granite and syenite</t>
  </si>
  <si>
    <t>CG79-288</t>
  </si>
  <si>
    <t>CG79-288.2.jpg</t>
  </si>
  <si>
    <t>Nebulitic granite</t>
  </si>
  <si>
    <t>CG79-288.3.jpg</t>
  </si>
  <si>
    <t>Tonalite/granodiorite</t>
  </si>
  <si>
    <t>CG79-288.1.jpg</t>
  </si>
  <si>
    <t>Enclaves of tonalite/granodiorite and amphibolite in massive granite</t>
  </si>
  <si>
    <t>VO81-131</t>
  </si>
  <si>
    <t>VO81-131.2.jpg</t>
  </si>
  <si>
    <t>81-12</t>
  </si>
  <si>
    <t>Pink feldspars (megacrysts/enclaves?) in mafic rock</t>
  </si>
  <si>
    <t>VO81-131.3.jpg</t>
  </si>
  <si>
    <t>Leucodiabase intruded by darker diabase</t>
  </si>
  <si>
    <t>VO81-132</t>
  </si>
  <si>
    <t>VO81-132.jpg</t>
  </si>
  <si>
    <t>Epidote lenses in hornblende garnet assemblage</t>
  </si>
  <si>
    <t>VO81-133</t>
  </si>
  <si>
    <t>VO81-133.jpg</t>
  </si>
  <si>
    <t>Agmatized amphibolite with leucosome</t>
  </si>
  <si>
    <t>VO81-138</t>
  </si>
  <si>
    <t>VO81-138.jpg</t>
  </si>
  <si>
    <t>Pegmatite in Curlew Harbour metasedimentary gneiss</t>
  </si>
  <si>
    <t>VO81-139</t>
  </si>
  <si>
    <t>VO81-139.jpg</t>
  </si>
  <si>
    <t>Curlew Harbour metasedimentary gneiss</t>
  </si>
  <si>
    <t>VO81-141</t>
  </si>
  <si>
    <t>VO81-141.jpg</t>
  </si>
  <si>
    <t>CG99-048</t>
  </si>
  <si>
    <t>CG99-048.2.jpg</t>
  </si>
  <si>
    <t>99-01</t>
  </si>
  <si>
    <t>JUL 99 MN06</t>
  </si>
  <si>
    <t>Amphibolite (fine-grained) intruded by anastomosing monzonite veinlets</t>
  </si>
  <si>
    <t>CG99-050</t>
  </si>
  <si>
    <t>CG99-050.1.jpg</t>
  </si>
  <si>
    <t>Quartz monzonite/granodiorite with abundant mafic enclaves</t>
  </si>
  <si>
    <t>CG92-165</t>
  </si>
  <si>
    <t>CG92-165.jpg</t>
  </si>
  <si>
    <t>92-05</t>
  </si>
  <si>
    <t>SEP 92G</t>
  </si>
  <si>
    <t>Pegmatitic vein (10 cm wide) in Upper St. Paul River (east) monzonite</t>
  </si>
  <si>
    <t>CG92-181</t>
  </si>
  <si>
    <t>CG92-181.jpg</t>
  </si>
  <si>
    <t>Coarse-grained, massive Upper St. Paul (west) granite</t>
  </si>
  <si>
    <t>GN95-581</t>
  </si>
  <si>
    <t>GN95-581.5.jpg</t>
  </si>
  <si>
    <t>95-01</t>
  </si>
  <si>
    <t>TvN, AC and GB at Muskrat Lake camp (on opposite side of lake from data stn.)</t>
  </si>
  <si>
    <t>RG80-061</t>
  </si>
  <si>
    <t>RG80-061.2.jpg</t>
  </si>
  <si>
    <t>80-18</t>
  </si>
  <si>
    <t>JUL 80T3</t>
  </si>
  <si>
    <t>Brittle fault breccia of granodioritic gneiss and amphibolite</t>
  </si>
  <si>
    <t>GF81-003</t>
  </si>
  <si>
    <t>GF81-003.1.jpg</t>
  </si>
  <si>
    <t>Pegmatite discordantly intruding tonalite/granodiorite gneiss</t>
  </si>
  <si>
    <t>CG97-220</t>
  </si>
  <si>
    <t>CG97-220.4.jpg</t>
  </si>
  <si>
    <t>99-04</t>
  </si>
  <si>
    <t>JUL 99 MN02</t>
  </si>
  <si>
    <t>Folded, foliated granite</t>
  </si>
  <si>
    <t>CG97-220.1.jpg</t>
  </si>
  <si>
    <t>97-05</t>
  </si>
  <si>
    <t>AUG 97N12</t>
  </si>
  <si>
    <t>Foliated granite</t>
  </si>
  <si>
    <t>CG97-230</t>
  </si>
  <si>
    <t>CG97-230.1.jpg</t>
  </si>
  <si>
    <t>97-03</t>
  </si>
  <si>
    <t>Late- to post-Grenvillian granite</t>
  </si>
  <si>
    <t>CG97-230.2.jpg</t>
  </si>
  <si>
    <t>NN80-064.1.jpg</t>
  </si>
  <si>
    <t>NN80-065</t>
  </si>
  <si>
    <t>NN80-065.jpg</t>
  </si>
  <si>
    <t>80-12</t>
  </si>
  <si>
    <t>JUL 80 T10</t>
  </si>
  <si>
    <t>Quartz diorite gneiss with concordant amphibolite band</t>
  </si>
  <si>
    <t>NN80-066</t>
  </si>
  <si>
    <t>NN80-066.jpg</t>
  </si>
  <si>
    <t>Discordant intrusive contact between amphibolite dyke and granodiorite / quartz diorite gneiss</t>
  </si>
  <si>
    <t>NN80-067</t>
  </si>
  <si>
    <t>NN80-067.jpg</t>
  </si>
  <si>
    <t>Displacement plane in quartz diorite gneiss, now occupied by pegmatite</t>
  </si>
  <si>
    <t>VN91-307</t>
  </si>
  <si>
    <t>VN91-307.jpg</t>
  </si>
  <si>
    <t>91-17</t>
  </si>
  <si>
    <t>OCT 91E</t>
  </si>
  <si>
    <t>JS87-167</t>
  </si>
  <si>
    <t>JS87-167.2.jpg</t>
  </si>
  <si>
    <t>87-10</t>
  </si>
  <si>
    <t>AUG 87T04</t>
  </si>
  <si>
    <t>Mafic rock fragments ('exploded' dyke?) in alkali-feldspar granite</t>
  </si>
  <si>
    <t>JS87-167.1.jpg</t>
  </si>
  <si>
    <t>Coarse-grained alkali-feldspar granite</t>
  </si>
  <si>
    <t>JS87-194</t>
  </si>
  <si>
    <t>JS87-194.jpg</t>
  </si>
  <si>
    <t>Folded granodioritic gneiss</t>
  </si>
  <si>
    <t>CG80-425</t>
  </si>
  <si>
    <t>CG80-425.1.jpg</t>
  </si>
  <si>
    <t>80-08</t>
  </si>
  <si>
    <t>AUG 80T6</t>
  </si>
  <si>
    <t>Psammitic metasedimentary gneiss</t>
  </si>
  <si>
    <t>CG99-029</t>
  </si>
  <si>
    <t>CG99-029.1.jpg</t>
  </si>
  <si>
    <t>Hornblende quartz monzonite with mafic enclave and microgranite dyke</t>
  </si>
  <si>
    <t>CG87-488.12.jpg</t>
  </si>
  <si>
    <t>92-03</t>
  </si>
  <si>
    <t>AUG 92D</t>
  </si>
  <si>
    <t>VO81-583</t>
  </si>
  <si>
    <t>VO81-583.jpg</t>
  </si>
  <si>
    <t>81-17</t>
  </si>
  <si>
    <t>Amphibolite enclaves in monzodiorite</t>
  </si>
  <si>
    <t>VO81-590</t>
  </si>
  <si>
    <t>VO81-590.jpg</t>
  </si>
  <si>
    <t>Refolded quartz diorite - granodiorite gneiss</t>
  </si>
  <si>
    <t>VO81-619</t>
  </si>
  <si>
    <t>VO81-619.jpg</t>
  </si>
  <si>
    <t>81-18</t>
  </si>
  <si>
    <t>K-feldspar megacrystic syenite(?)</t>
  </si>
  <si>
    <t>VO81-631</t>
  </si>
  <si>
    <t>VO81-631.1.jpg</t>
  </si>
  <si>
    <t>Amphibolite enclaves in quartz monzonite</t>
  </si>
  <si>
    <t>VO81-631.2.jpg</t>
  </si>
  <si>
    <t>VO81-637</t>
  </si>
  <si>
    <t>VO81-637.2.jpg</t>
  </si>
  <si>
    <t>Streaky textured biotite granodiorite</t>
  </si>
  <si>
    <t>CG79-359</t>
  </si>
  <si>
    <t>CG79-359.5.jpg</t>
  </si>
  <si>
    <t>79-06</t>
  </si>
  <si>
    <t>Porphyroclasts in mylonite</t>
  </si>
  <si>
    <t>CG79-359.2.jpg</t>
  </si>
  <si>
    <t>Mylonite</t>
  </si>
  <si>
    <t>CG79-359.3.jpg</t>
  </si>
  <si>
    <t>GM85-550</t>
  </si>
  <si>
    <t>GM85-550.2.jpg</t>
  </si>
  <si>
    <t>Amphibolite dyke intruding hornblende quartz diorite</t>
  </si>
  <si>
    <t>CG81-593</t>
  </si>
  <si>
    <t>CG81-593.2.jpg</t>
  </si>
  <si>
    <t>81-05</t>
  </si>
  <si>
    <t>Looking east from east side of Mealy Mountains over English River drainage basin</t>
  </si>
  <si>
    <t>VN91-163</t>
  </si>
  <si>
    <t>VN91-163.2.jpg</t>
  </si>
  <si>
    <t>91-14</t>
  </si>
  <si>
    <t>AUG 91G</t>
  </si>
  <si>
    <t>Gneissosity in biotite granodiorite</t>
  </si>
  <si>
    <t>VN91-166</t>
  </si>
  <si>
    <t>VN91-166.1.jpg</t>
  </si>
  <si>
    <t>K-feldspar megacrystic biotite hornblende magnetite monzonite/syenite</t>
  </si>
  <si>
    <t>VN91-166.2.jpg</t>
  </si>
  <si>
    <t>VN91-180</t>
  </si>
  <si>
    <t>VN91-180.4.jpg</t>
  </si>
  <si>
    <t>Alexis River anorthosite</t>
  </si>
  <si>
    <t>CG84-436</t>
  </si>
  <si>
    <t>CG84-436.04.jpg</t>
  </si>
  <si>
    <t>K-feldspar megacrystic dyke discordantly intruding younger mafic dyke</t>
  </si>
  <si>
    <t>CG99-091</t>
  </si>
  <si>
    <t>CG99-091.jpg</t>
  </si>
  <si>
    <t>Described as leucogabbronorite in field notes but stains as a granite</t>
  </si>
  <si>
    <t>CG99-103</t>
  </si>
  <si>
    <t>CG99-103.jpg</t>
  </si>
  <si>
    <t>Amphibolitic gneiss</t>
  </si>
  <si>
    <t>VN93-662.02.jpg</t>
  </si>
  <si>
    <t>93-17</t>
  </si>
  <si>
    <t>SEP 93C</t>
  </si>
  <si>
    <t>Small tongue of mafic dyke intruding K-feldspar megacrystic granite</t>
  </si>
  <si>
    <t>SN86-331</t>
  </si>
  <si>
    <t>SN86-331.2.jpg</t>
  </si>
  <si>
    <t>86-21</t>
  </si>
  <si>
    <t>Granodiorite (mylonitic) with discordant granitic veinlets</t>
  </si>
  <si>
    <t>SN86-331.3.jpg</t>
  </si>
  <si>
    <t>Amphibolite dyke in granodiorite to quartz diorite gneiss</t>
  </si>
  <si>
    <t>SN86-136</t>
  </si>
  <si>
    <t>SN86-136.2.jpg</t>
  </si>
  <si>
    <t>Pyroxene(?) in garnet-bearing amphibolitic gneiss</t>
  </si>
  <si>
    <t>SN86-136.3.jpg</t>
  </si>
  <si>
    <t>Amphibolite intruded by leucodiorite</t>
  </si>
  <si>
    <t>CG93-083</t>
  </si>
  <si>
    <t>CG93-083.jpg</t>
  </si>
  <si>
    <t>93-02</t>
  </si>
  <si>
    <t>JUL 93D</t>
  </si>
  <si>
    <t>Recrystallized amphibolite</t>
  </si>
  <si>
    <t>VN91-249</t>
  </si>
  <si>
    <t>VN91-249.jpg</t>
  </si>
  <si>
    <t>91-15</t>
  </si>
  <si>
    <t>AUG 91B</t>
  </si>
  <si>
    <t>Lineation of gneissosity surface of granodiorite/ quartz diorite gneiss</t>
  </si>
  <si>
    <t>NN80-059</t>
  </si>
  <si>
    <t>NN80-059.1.jpg</t>
  </si>
  <si>
    <t>Granodiorite/Granite gneiss</t>
  </si>
  <si>
    <t>NN80-059.4.jpg</t>
  </si>
  <si>
    <t>Folded gneissic leucosome within amphibolite</t>
  </si>
  <si>
    <t>RG80-030</t>
  </si>
  <si>
    <t>RG80-030.jpg</t>
  </si>
  <si>
    <t>80-17</t>
  </si>
  <si>
    <t>Amphibolite layer in granodiorite</t>
  </si>
  <si>
    <t>VN92-218</t>
  </si>
  <si>
    <t>VN92-218.5.jpg</t>
  </si>
  <si>
    <t>92-14</t>
  </si>
  <si>
    <t>SEP 92D</t>
  </si>
  <si>
    <t>Amphibolite (enclaves/deformed dykes?) in foliated monzonite</t>
  </si>
  <si>
    <t>CG93-119</t>
  </si>
  <si>
    <t>CG93-119.2.jpg</t>
  </si>
  <si>
    <t>Discordant pegmatite intruding syenite with concordant amphibolite</t>
  </si>
  <si>
    <t>CG93-119.3.jpg</t>
  </si>
  <si>
    <t>Deformation and veining within amphibolite in syenite</t>
  </si>
  <si>
    <t>CG83-007</t>
  </si>
  <si>
    <t>CG83-007.jpg</t>
  </si>
  <si>
    <t>83-00</t>
  </si>
  <si>
    <t>K-feldspar megacrystic granitoid rock</t>
  </si>
  <si>
    <t>CG83-070</t>
  </si>
  <si>
    <t>CG83-070.jpg</t>
  </si>
  <si>
    <t>Kyanite-bearing metatexitic metasedimentary gneiss</t>
  </si>
  <si>
    <t>CG92-163</t>
  </si>
  <si>
    <t>CG92-163.9.jpg</t>
  </si>
  <si>
    <t>Upper St. Paul River monzonite to alkali-feldspar granite; geochron. sample site</t>
  </si>
  <si>
    <t>CG04-245</t>
  </si>
  <si>
    <t>CG04-245.3.jpg</t>
  </si>
  <si>
    <t>Fine-grained amphibolite and coarse-grained leucoamphibolite?</t>
  </si>
  <si>
    <t>CG04-245.4.jpg</t>
  </si>
  <si>
    <t>Heather in flower</t>
  </si>
  <si>
    <t>CG04-245.5.jpg</t>
  </si>
  <si>
    <t>Dunite close-up</t>
  </si>
  <si>
    <t>CG04-245.6.jpg</t>
  </si>
  <si>
    <t>CG04-251</t>
  </si>
  <si>
    <t>CG04-251.jpg</t>
  </si>
  <si>
    <t>Causeway and bridge across Dykes River</t>
  </si>
  <si>
    <t>CG04-258</t>
  </si>
  <si>
    <t>CG04-258.1.jpg</t>
  </si>
  <si>
    <t>Wildlife: animal</t>
  </si>
  <si>
    <t>Black bear and cub 1</t>
  </si>
  <si>
    <t>CG04-258.2.jpg</t>
  </si>
  <si>
    <t>Black bear and cub 2</t>
  </si>
  <si>
    <t>CG79-235</t>
  </si>
  <si>
    <t>CG79-235.jpg</t>
  </si>
  <si>
    <t>Gneissic granodiorite</t>
  </si>
  <si>
    <t>CG79-236</t>
  </si>
  <si>
    <t>CG79-236.jpg</t>
  </si>
  <si>
    <t>Tonalite/granodiorite and granite intruded by mafic dyke</t>
  </si>
  <si>
    <t>CG86-156</t>
  </si>
  <si>
    <t>CG86-156.2.jpg</t>
  </si>
  <si>
    <t>K-feldspar megacrystic granodiorite intruded by mafic dyke then minor granite intrusion</t>
  </si>
  <si>
    <t>CG86-167</t>
  </si>
  <si>
    <t>CG86-167.jpg</t>
  </si>
  <si>
    <t>Dextrally transposed pegmatite</t>
  </si>
  <si>
    <t>CG04-198</t>
  </si>
  <si>
    <t>CG04-198.jpg</t>
  </si>
  <si>
    <t>Beaver Brook</t>
  </si>
  <si>
    <t>CG04-200</t>
  </si>
  <si>
    <t>CG04-200.jpg</t>
  </si>
  <si>
    <t>Gabbronorite, then sheared, then intruded by pegmatite</t>
  </si>
  <si>
    <t>CG04-202</t>
  </si>
  <si>
    <t>CG04-202.jpg</t>
  </si>
  <si>
    <t>Screech hawk in flight</t>
  </si>
  <si>
    <t>CG04-203</t>
  </si>
  <si>
    <t>CG04-203.jpg</t>
  </si>
  <si>
    <t>Mylonitized K-feldspar megacrystic granodiorite</t>
  </si>
  <si>
    <t>CG04-204</t>
  </si>
  <si>
    <t>CG04-204.1.jpg</t>
  </si>
  <si>
    <t>Left-side-down marginal to pegmatite</t>
  </si>
  <si>
    <t>VN91-005</t>
  </si>
  <si>
    <t>VN91-005.1.jpg</t>
  </si>
  <si>
    <t>91-09</t>
  </si>
  <si>
    <t>Anhydrous metasedimentary gneiss (looks like K-fs meg. granite to me - CFG; see T.S.)</t>
  </si>
  <si>
    <t>RG80-133</t>
  </si>
  <si>
    <t>RG80-133.02.jpg</t>
  </si>
  <si>
    <t>80-20</t>
  </si>
  <si>
    <t>Double Mer Formation conglomerate - Backway</t>
  </si>
  <si>
    <t>RG80-133.08.jpg</t>
  </si>
  <si>
    <t>RG80-303</t>
  </si>
  <si>
    <t>RG80-303.jpg</t>
  </si>
  <si>
    <t>80-21</t>
  </si>
  <si>
    <t>AUG 80T2</t>
  </si>
  <si>
    <t>K-feldspar megacrystic granodiorite, foliated with mafic schlieren</t>
  </si>
  <si>
    <t>RG80-307</t>
  </si>
  <si>
    <t>RG80-307.jpg</t>
  </si>
  <si>
    <t>Possible metasedimentary gneiss</t>
  </si>
  <si>
    <t>VN93-662.10.jpg</t>
  </si>
  <si>
    <t>93-18</t>
  </si>
  <si>
    <t>OCT 93G</t>
  </si>
  <si>
    <t>Hornblende in pegmatitic segregation in K-feldspar megacrystic granite</t>
  </si>
  <si>
    <t>VN95-103</t>
  </si>
  <si>
    <t>VN95-103.2.jpg</t>
  </si>
  <si>
    <t>Quartz monzodiorite intruded by fine-grained mafic dyke</t>
  </si>
  <si>
    <t>VN95-109</t>
  </si>
  <si>
    <t>VN95-109.1.jpg</t>
  </si>
  <si>
    <t>Homogeneous garnet orthopyroxene(?) metasedimentary gneiss</t>
  </si>
  <si>
    <t>CG93-698</t>
  </si>
  <si>
    <t>CG93-698.3.jpg</t>
  </si>
  <si>
    <t>93-08</t>
  </si>
  <si>
    <t>SEP 93D</t>
  </si>
  <si>
    <t>Enclaves in late- to post-Grenvillian Upper Beaver Brook hornblende quartz monzonite; geochron. sample site</t>
  </si>
  <si>
    <t>CG93-698.2.jpg</t>
  </si>
  <si>
    <t>CG93-698.6.jpg</t>
  </si>
  <si>
    <t>Upper Beaver Brook hornblende quartz monzonite; geochron. sample site</t>
  </si>
  <si>
    <t>CG93-722</t>
  </si>
  <si>
    <t>CG93-722.2.jpg</t>
  </si>
  <si>
    <t>Streaky textured rock interpreted to be deformed granite</t>
  </si>
  <si>
    <t>CG80-054</t>
  </si>
  <si>
    <t>CG80-054.2.jpg</t>
  </si>
  <si>
    <t>80-02</t>
  </si>
  <si>
    <t>Pegmatite with amphibolitized gabbro at its margin</t>
  </si>
  <si>
    <t>CG81-215</t>
  </si>
  <si>
    <t>CG81-215.1.jpg</t>
  </si>
  <si>
    <t>Gneissic quartz diorite/granodiorite with two phases of mafic dyke (same site as CG84-436)</t>
  </si>
  <si>
    <t>CG85-454</t>
  </si>
  <si>
    <t>CG85-454.2.jpg</t>
  </si>
  <si>
    <t>85-04</t>
  </si>
  <si>
    <t>AUG 85T5</t>
  </si>
  <si>
    <t>Bog laurel</t>
  </si>
  <si>
    <t>CG85-454.1.jpg</t>
  </si>
  <si>
    <t>Migmatitic amphibolite in K-feldspar megacrystic granodiorite</t>
  </si>
  <si>
    <t>CG85-458</t>
  </si>
  <si>
    <t>CG85-458.jpg</t>
  </si>
  <si>
    <t>K-feldspar megacrystic granodiorite</t>
  </si>
  <si>
    <t>CG85-461</t>
  </si>
  <si>
    <t>CG85-461.1.jpg</t>
  </si>
  <si>
    <t>Quartz diorite with discordant mafic dyke</t>
  </si>
  <si>
    <t>CG85-461.2.jpg</t>
  </si>
  <si>
    <t>Melagabbro enclave</t>
  </si>
  <si>
    <t>CG85-462</t>
  </si>
  <si>
    <t>CG85-462.jpg</t>
  </si>
  <si>
    <t>Contact between fine-grained and coarse-grained diorite</t>
  </si>
  <si>
    <t>CG85-463</t>
  </si>
  <si>
    <t>CG85-463.jpg</t>
  </si>
  <si>
    <t>Biotite granodiorite gneiss</t>
  </si>
  <si>
    <t>CG85-465</t>
  </si>
  <si>
    <t>CG85-465.4.jpg</t>
  </si>
  <si>
    <t>Bunchberry 2</t>
  </si>
  <si>
    <t>VN91-434</t>
  </si>
  <si>
    <t>VN91-434.jpg</t>
  </si>
  <si>
    <t>91-19</t>
  </si>
  <si>
    <t>OCT 91F</t>
  </si>
  <si>
    <t>VN91-020</t>
  </si>
  <si>
    <t>VN91-020.2.jpg</t>
  </si>
  <si>
    <t>Well-banded quartz diorite gneiss</t>
  </si>
  <si>
    <t>VN91-026</t>
  </si>
  <si>
    <t>VN91-026.jpg</t>
  </si>
  <si>
    <t>91-10</t>
  </si>
  <si>
    <t>K-feldspar megacrystic monzonite</t>
  </si>
  <si>
    <t>DD91-108</t>
  </si>
  <si>
    <t>DD91-108.2.jpg</t>
  </si>
  <si>
    <t>91-06</t>
  </si>
  <si>
    <t>VN87-452</t>
  </si>
  <si>
    <t>VN87-452.jpg</t>
  </si>
  <si>
    <t>87-18</t>
  </si>
  <si>
    <t>SEP 87T04</t>
  </si>
  <si>
    <t>Discordant granite porphyry dyke intruding intercalated granodiorite, quartz diorite and amphibolite</t>
  </si>
  <si>
    <t>VN87-454</t>
  </si>
  <si>
    <t>VN87-454.1.jpg</t>
  </si>
  <si>
    <t>Mylonitized granite</t>
  </si>
  <si>
    <t>VN87-454.2.jpg</t>
  </si>
  <si>
    <t>Contact between mylonitic granite and relatively undeformed megacrystic granite</t>
  </si>
  <si>
    <t>CG93-015</t>
  </si>
  <si>
    <t>CG93-015.jpg</t>
  </si>
  <si>
    <t>93-01</t>
  </si>
  <si>
    <t>JUL 93I</t>
  </si>
  <si>
    <t>Granodioritic gneiss with boudinaged amphibolite</t>
  </si>
  <si>
    <t>CG87-426</t>
  </si>
  <si>
    <t>CG87-426.1.jpg</t>
  </si>
  <si>
    <t>87-04</t>
  </si>
  <si>
    <t>Folded microgranite within amphibolite; geochron. sample site</t>
  </si>
  <si>
    <t>CG99-050.3.jpg</t>
  </si>
  <si>
    <t>Folded mafic layer in quartz monzonite/granodiorite</t>
  </si>
  <si>
    <t>DD91-037</t>
  </si>
  <si>
    <t>DD91-037.4.jpg</t>
  </si>
  <si>
    <t>Gabbro enclaves in granite gneiss</t>
  </si>
  <si>
    <t>DD91-037.3.jpg</t>
  </si>
  <si>
    <t>CG93-268</t>
  </si>
  <si>
    <t>CG93-268.6.jpg</t>
  </si>
  <si>
    <t>93-04</t>
  </si>
  <si>
    <t>Mafic dyke intruding supracrustal rocks</t>
  </si>
  <si>
    <t>CG86-621</t>
  </si>
  <si>
    <t>CG86-621.1.jpg</t>
  </si>
  <si>
    <t>Unrecrystallized late- to post-Grenvillian Southwest Pond granite with minor granitic intrusions</t>
  </si>
  <si>
    <t>CG86-668</t>
  </si>
  <si>
    <t>CG86-668.3.jpg</t>
  </si>
  <si>
    <t>Mafic dyke intruding gneiss</t>
  </si>
  <si>
    <t>VN93-662.08.jpg</t>
  </si>
  <si>
    <t>K-feldspar megacrystic granite ( host rock to mafic dykes)</t>
  </si>
  <si>
    <t>VN93-662.04.jpg</t>
  </si>
  <si>
    <t>Mafic dyke displaced along late fracture</t>
  </si>
  <si>
    <t>SN86-328</t>
  </si>
  <si>
    <t>SN86-328.jpg</t>
  </si>
  <si>
    <t>Folded amphibolite</t>
  </si>
  <si>
    <t>SN86-331.1.jpg</t>
  </si>
  <si>
    <t>Amphibolite enclave within granodiorite</t>
  </si>
  <si>
    <t>VN92-056</t>
  </si>
  <si>
    <t>VN92-056.jpg</t>
  </si>
  <si>
    <t>92-10</t>
  </si>
  <si>
    <t>JUL 92G</t>
  </si>
  <si>
    <t>Texture of K-feldspar megacrystic monzonite</t>
  </si>
  <si>
    <t>VN92-069</t>
  </si>
  <si>
    <t>VN92-069.2.jpg</t>
  </si>
  <si>
    <t>Layering in anorthosite/leucogabbro</t>
  </si>
  <si>
    <t>VN92-069.1.jpg</t>
  </si>
  <si>
    <t>VN91-330</t>
  </si>
  <si>
    <t>VN91-330.1.jpg</t>
  </si>
  <si>
    <t>Schlieric textured diorite</t>
  </si>
  <si>
    <t>CG92-117</t>
  </si>
  <si>
    <t>CG92-117.jpg</t>
  </si>
  <si>
    <t>92-04</t>
  </si>
  <si>
    <t>Layering in Upper Paradise River anorthosite</t>
  </si>
  <si>
    <t>CG92-118</t>
  </si>
  <si>
    <t>CG92-118.1.jpg</t>
  </si>
  <si>
    <t>Relict garnet in Upper Paradise River anorthosite</t>
  </si>
  <si>
    <t>CG92-119</t>
  </si>
  <si>
    <t>CG92-119.3.jpg</t>
  </si>
  <si>
    <t>Pegmatite intruding pink and grey fine-grained granite</t>
  </si>
  <si>
    <t>CG92-119.1.jpg</t>
  </si>
  <si>
    <t>Interlayered pink and grey fine-grained granite; intruded by pegmatite</t>
  </si>
  <si>
    <t>CG92-119.2.jpg</t>
  </si>
  <si>
    <t>Folded, interlayered pink and grey fine-grained granite</t>
  </si>
  <si>
    <t>CG92-120</t>
  </si>
  <si>
    <t>CG92-120.1.jpg</t>
  </si>
  <si>
    <t>Contact between granite and monzogabbro</t>
  </si>
  <si>
    <t>CG92-120.2.jpg</t>
  </si>
  <si>
    <t>Enclaves of monzogabbro in granite</t>
  </si>
  <si>
    <t>CG92-120.3.jpg</t>
  </si>
  <si>
    <t>Coarse-grained, late- to post-Grenvillian granite</t>
  </si>
  <si>
    <t>VN91-106</t>
  </si>
  <si>
    <t>VN91-106.3.jpg</t>
  </si>
  <si>
    <t>91-12</t>
  </si>
  <si>
    <t>AUG 91D</t>
  </si>
  <si>
    <t>Banding in rock of possible volcanic protolith</t>
  </si>
  <si>
    <t>CG80-200</t>
  </si>
  <si>
    <t>CG80-200.2.jpg</t>
  </si>
  <si>
    <t>80-04</t>
  </si>
  <si>
    <t>Mylonitic shear in metagabbro</t>
  </si>
  <si>
    <t>GF81-167</t>
  </si>
  <si>
    <t>GF81-167.2.jpg</t>
  </si>
  <si>
    <t>Mealy dykes in Mealy Mountains monzonite</t>
  </si>
  <si>
    <t>VN91-111</t>
  </si>
  <si>
    <t>VN91-111.jpg</t>
  </si>
  <si>
    <t>Schlieric banding in quartz diorite</t>
  </si>
  <si>
    <t>VN91-113</t>
  </si>
  <si>
    <t>VN91-113.1.jpg</t>
  </si>
  <si>
    <t>Banding in granite gneiss</t>
  </si>
  <si>
    <t>CG04-158</t>
  </si>
  <si>
    <t>CG04-158.1.jpg</t>
  </si>
  <si>
    <t>Foxes 1</t>
  </si>
  <si>
    <t>CG04-158.2.jpg</t>
  </si>
  <si>
    <t>Foxes 2</t>
  </si>
  <si>
    <t>CG04-158.3.jpg</t>
  </si>
  <si>
    <t>Foxes 3</t>
  </si>
  <si>
    <t>RG80-015</t>
  </si>
  <si>
    <t>RG80-015.4.jpg</t>
  </si>
  <si>
    <t>Garnetiferous granodiorite/tonalite gneiss (metasedimentary?)</t>
  </si>
  <si>
    <t>CG80-154</t>
  </si>
  <si>
    <t>CG80-154.2.jpg</t>
  </si>
  <si>
    <t>80-03</t>
  </si>
  <si>
    <t>Gossanous, pyritic metasedimentary gneiss</t>
  </si>
  <si>
    <t>CG85-473</t>
  </si>
  <si>
    <t>CG85-473.jpg</t>
  </si>
  <si>
    <t>K-feldspar megacrystic granodiorite with enclaves</t>
  </si>
  <si>
    <t>VN92-146</t>
  </si>
  <si>
    <t>VN92-146.jpg</t>
  </si>
  <si>
    <t>92-12</t>
  </si>
  <si>
    <t>Texture of foliated quartz diorite to granodiorite</t>
  </si>
  <si>
    <t>VN92-153</t>
  </si>
  <si>
    <t>VN92-153.2.jpg</t>
  </si>
  <si>
    <t>Strongly foliated quartz diorite/granodiorite</t>
  </si>
  <si>
    <t>CG93-268.5.jpg</t>
  </si>
  <si>
    <t>Deformed pegmatite intruding supracrustal rocks</t>
  </si>
  <si>
    <t>CG93-268.9.jpg</t>
  </si>
  <si>
    <t>94-01</t>
  </si>
  <si>
    <t>Folded pegmatite within supracrustal rocks</t>
  </si>
  <si>
    <t>CG80-732</t>
  </si>
  <si>
    <t>CG80-732.2.jpg</t>
  </si>
  <si>
    <t>80-09</t>
  </si>
  <si>
    <t>OCT 80T2</t>
  </si>
  <si>
    <t>CG80-732.3.jpg</t>
  </si>
  <si>
    <t>Ptygmatic folds</t>
  </si>
  <si>
    <t>CG80-737</t>
  </si>
  <si>
    <t>CG80-737.jpg</t>
  </si>
  <si>
    <t>Tonalite/granodiorite gneiss</t>
  </si>
  <si>
    <t>CG80-759</t>
  </si>
  <si>
    <t>CG80-759.jpg</t>
  </si>
  <si>
    <t>CG81-001</t>
  </si>
  <si>
    <t>CG81-001.10.jpg</t>
  </si>
  <si>
    <t>VO doing some clothes mending</t>
  </si>
  <si>
    <t>CG81-001.09.jpg</t>
  </si>
  <si>
    <t>81-03</t>
  </si>
  <si>
    <t>AW</t>
  </si>
  <si>
    <t>CG81-001.08.jpg</t>
  </si>
  <si>
    <t>HN 2</t>
  </si>
  <si>
    <t>CG81-001.07.jpg</t>
  </si>
  <si>
    <t>CG</t>
  </si>
  <si>
    <t>CG81-001.06.jpg</t>
  </si>
  <si>
    <t>HN 1</t>
  </si>
  <si>
    <t>CG81-001.20.jpg</t>
  </si>
  <si>
    <t>81-08</t>
  </si>
  <si>
    <t>Cartwright, wharf area 2</t>
  </si>
  <si>
    <t>CG81-001.24.jpg</t>
  </si>
  <si>
    <t>Cartwright 5</t>
  </si>
  <si>
    <t>CG81-001.23.jpg</t>
  </si>
  <si>
    <t>Cartwright 4</t>
  </si>
  <si>
    <t>CG81-001.22.jpg</t>
  </si>
  <si>
    <t>Cartwright, GF and VO</t>
  </si>
  <si>
    <t>CG79-074</t>
  </si>
  <si>
    <t>CG79-074.2.jpg</t>
  </si>
  <si>
    <t>79-02</t>
  </si>
  <si>
    <t>JUL 79T1</t>
  </si>
  <si>
    <t>Remnant of net-veined mafic dyke</t>
  </si>
  <si>
    <t>JS86-010</t>
  </si>
  <si>
    <t>JS86-010.1.jpg</t>
  </si>
  <si>
    <t>86-09</t>
  </si>
  <si>
    <t>Banded and folded amphibolitic gneiss</t>
  </si>
  <si>
    <t>JS86-010.2.jpg</t>
  </si>
  <si>
    <t>JS86-016</t>
  </si>
  <si>
    <t>JS86-016.jpg</t>
  </si>
  <si>
    <t>VN87-446</t>
  </si>
  <si>
    <t>VN87-446.jpg</t>
  </si>
  <si>
    <t>Folded amphibolite dyke in foliated granite</t>
  </si>
  <si>
    <t>VN87-447</t>
  </si>
  <si>
    <t>VN87-447.1.jpg</t>
  </si>
  <si>
    <t>Amphibolite intruded by pegmatite</t>
  </si>
  <si>
    <t>VN87-448</t>
  </si>
  <si>
    <t>VN87-448.jpg</t>
  </si>
  <si>
    <t>Porphyritic amphibolite dyke intruding foliated granite</t>
  </si>
  <si>
    <t>VN87-449</t>
  </si>
  <si>
    <t>VN87-449.1.jpg</t>
  </si>
  <si>
    <t>Fresh diabase dyke</t>
  </si>
  <si>
    <t>CG87-488.13.jpg</t>
  </si>
  <si>
    <t>CG86-228</t>
  </si>
  <si>
    <t>CG86-228.3.jpg</t>
  </si>
  <si>
    <t>86-04</t>
  </si>
  <si>
    <t>AUG 86T2</t>
  </si>
  <si>
    <t>Compositionally banded metasedimentary gneiss</t>
  </si>
  <si>
    <t>CG86-228.2.jpg</t>
  </si>
  <si>
    <t>Quartzite</t>
  </si>
  <si>
    <t>CG86-228.1.jpg</t>
  </si>
  <si>
    <t>CG86-268</t>
  </si>
  <si>
    <t>CG86-268.5.jpg</t>
  </si>
  <si>
    <t>Layered ultramafic rock</t>
  </si>
  <si>
    <t>CG86-268.1.jpg</t>
  </si>
  <si>
    <t>Cordierite metasedimentary gneiss</t>
  </si>
  <si>
    <t>CG86-268.3.jpg</t>
  </si>
  <si>
    <t>Cordierite and garnet-bearing metasedimentary gneiss</t>
  </si>
  <si>
    <t>CG86-268.4.jpg</t>
  </si>
  <si>
    <t>CG86-310</t>
  </si>
  <si>
    <t>CG86-310.1.jpg</t>
  </si>
  <si>
    <t>Sinistrally rotated pegmatite boudin</t>
  </si>
  <si>
    <t>VN95-025</t>
  </si>
  <si>
    <t>VN95-025.jpg</t>
  </si>
  <si>
    <t>95-06</t>
  </si>
  <si>
    <t>Garnet-bearing psammitic gneiss</t>
  </si>
  <si>
    <t>VN95-026</t>
  </si>
  <si>
    <t>VN95-026.jpg</t>
  </si>
  <si>
    <t>Homogeneous hornblende biotite quartz diorite</t>
  </si>
  <si>
    <t>VN95-033</t>
  </si>
  <si>
    <t>VN95-033.jpg</t>
  </si>
  <si>
    <t>Garnet-bearing metasedimentary gneiss</t>
  </si>
  <si>
    <t>VN95-040</t>
  </si>
  <si>
    <t>VN95-040.1.jpg</t>
  </si>
  <si>
    <t>Migmatitic garnet muscovite sillimanite metasedimentary gneiss</t>
  </si>
  <si>
    <t>VN95-040.2.jpg</t>
  </si>
  <si>
    <t>Garnet muscovite sillimanite metasedimentary gneiss</t>
  </si>
  <si>
    <t>VN95-040.3.jpg</t>
  </si>
  <si>
    <t>Migmatitic muscovite sillimanite garnet metasedimentary gneiss</t>
  </si>
  <si>
    <t>VN95-040.4.jpg</t>
  </si>
  <si>
    <t>Coarse-grained muscovite pegmatite intruding sillimanite garnet muscovite metasedimentary gneiss</t>
  </si>
  <si>
    <t>VN95-041</t>
  </si>
  <si>
    <t>VN95-041.1.jpg</t>
  </si>
  <si>
    <t>Well-banded psammitic gneiss</t>
  </si>
  <si>
    <t>VN95-041.2.jpg</t>
  </si>
  <si>
    <t>Garnet porphyroblasts in leucosome of metasedimentary gneiss</t>
  </si>
  <si>
    <t>VN95-043</t>
  </si>
  <si>
    <t>VN95-043.3.jpg</t>
  </si>
  <si>
    <t>Garnet porphyroblasts in metasedimentary diatexite</t>
  </si>
  <si>
    <t>VN95-043.1.jpg</t>
  </si>
  <si>
    <t>VN95-043.2.jpg</t>
  </si>
  <si>
    <t>VN95-052</t>
  </si>
  <si>
    <t>VN95-052.jpg</t>
  </si>
  <si>
    <t>Banding in migmatitic granodioritic gneiss</t>
  </si>
  <si>
    <t>VN95-057</t>
  </si>
  <si>
    <t>VN95-057.jpg</t>
  </si>
  <si>
    <t>Granodiorite intruded by fine-grained mafic dyke</t>
  </si>
  <si>
    <t>AD79-024.1.jpg</t>
  </si>
  <si>
    <t>Texture in granitoid rock</t>
  </si>
  <si>
    <t>AD79-024.2.jpg</t>
  </si>
  <si>
    <t>Granite enclave in medium-grained granite</t>
  </si>
  <si>
    <t>CG03-299</t>
  </si>
  <si>
    <t>CG03-299.1.jpg</t>
  </si>
  <si>
    <t>Sulphide in amphibolite</t>
  </si>
  <si>
    <t>CG03-299.2.jpg</t>
  </si>
  <si>
    <t>Retrograded garnet (white spots) in amphibolitic gneiss</t>
  </si>
  <si>
    <t>CG03-303</t>
  </si>
  <si>
    <t>CG03-303.jpg</t>
  </si>
  <si>
    <t>Mylonitic gneiss with amphibolite and late dyke (near concordant)</t>
  </si>
  <si>
    <t>CG03-309</t>
  </si>
  <si>
    <t>CG03-309.jpg</t>
  </si>
  <si>
    <t>Discordant mafic dyke in granite gneiss with amphibolite lenses</t>
  </si>
  <si>
    <t>CG03-323</t>
  </si>
  <si>
    <t>CG03-323.1.jpg</t>
  </si>
  <si>
    <t>'Megacrystic' monzonite</t>
  </si>
  <si>
    <t>DD91-094</t>
  </si>
  <si>
    <t>DD91-094.3.jpg</t>
  </si>
  <si>
    <t>Mylonitic diorite</t>
  </si>
  <si>
    <t>GF81-015</t>
  </si>
  <si>
    <t>GF81-015.1.jpg</t>
  </si>
  <si>
    <t>Mylonitic tonalite/granodiorite gneiss intruded by pegmatite</t>
  </si>
  <si>
    <t>GF81-015.3.jpg</t>
  </si>
  <si>
    <t>GF81-015.2.jpg</t>
  </si>
  <si>
    <t>GF81-019</t>
  </si>
  <si>
    <t>GF81-019.jpg</t>
  </si>
  <si>
    <t>Tonalite/granodiorite gneiss, gently dipping, with GF</t>
  </si>
  <si>
    <t>VN91-020.1.jpg</t>
  </si>
  <si>
    <t>NN80-202</t>
  </si>
  <si>
    <t>NN80-202.2.jpg</t>
  </si>
  <si>
    <t>80-15</t>
  </si>
  <si>
    <t>South-verging folds defined by amphibolite</t>
  </si>
  <si>
    <t>NN80-202.1.jpg</t>
  </si>
  <si>
    <t>NN80-203</t>
  </si>
  <si>
    <t>NN80-203.5.jpg</t>
  </si>
  <si>
    <t>En route Goose Bay to Cartwright; iceberg</t>
  </si>
  <si>
    <t>NN80-203.4.jpg</t>
  </si>
  <si>
    <t>En route Goose Bay to Cartwright, near St. John Island; unidentified</t>
  </si>
  <si>
    <t>CG80-354</t>
  </si>
  <si>
    <t>CG80-354.1.jpg</t>
  </si>
  <si>
    <t>80-07</t>
  </si>
  <si>
    <t>Lineated monzodiorite</t>
  </si>
  <si>
    <t>CG80-387</t>
  </si>
  <si>
    <t>CG80-387.jpg</t>
  </si>
  <si>
    <t>Brittle shear zone and Lester Green</t>
  </si>
  <si>
    <t>CG84-144</t>
  </si>
  <si>
    <t>CG84-144.jpg</t>
  </si>
  <si>
    <t>84-02</t>
  </si>
  <si>
    <t>SEP 84T9</t>
  </si>
  <si>
    <t>Metagabbro intruded by quartzofeldspathic veins</t>
  </si>
  <si>
    <t>VN93-218</t>
  </si>
  <si>
    <t>VN93-218.1.jpg</t>
  </si>
  <si>
    <t>93-14</t>
  </si>
  <si>
    <t>Migmatitic sillimanite-bearing semi-pelitic gneiss</t>
  </si>
  <si>
    <t>CG79-066</t>
  </si>
  <si>
    <t>CG79-066.2.jpg</t>
  </si>
  <si>
    <t>Fine-grained, black weathering mafic dyke</t>
  </si>
  <si>
    <t>CG04-209</t>
  </si>
  <si>
    <t>CG04-209.2.jpg</t>
  </si>
  <si>
    <t>Right-side-up marginal to pegmatite</t>
  </si>
  <si>
    <t>CG04-209.3.jpg</t>
  </si>
  <si>
    <t>CG04-209.4.jpg</t>
  </si>
  <si>
    <t>CG04-209.5.jpg</t>
  </si>
  <si>
    <t>CG04-209.6.jpg</t>
  </si>
  <si>
    <t>CG04-210</t>
  </si>
  <si>
    <t>CG04-210.1.jpg</t>
  </si>
  <si>
    <t>Chlorite pseudomorphs (after garnet/orthopyroxene?)</t>
  </si>
  <si>
    <t>CG87-428</t>
  </si>
  <si>
    <t>CG87-428.jpg</t>
  </si>
  <si>
    <t>Dioritic dyke intruding foliated granite</t>
  </si>
  <si>
    <t>CG87-429</t>
  </si>
  <si>
    <t>CG87-429.1.jpg</t>
  </si>
  <si>
    <t>Brittle fault</t>
  </si>
  <si>
    <t>CG87-429.2.jpg</t>
  </si>
  <si>
    <t>CG87-431</t>
  </si>
  <si>
    <t>CG87-431.7.jpg</t>
  </si>
  <si>
    <t>Well-banded quartzofeldspathic metasedimentary rocks</t>
  </si>
  <si>
    <t>CG87-431.1.jpg</t>
  </si>
  <si>
    <t>CG87-431.2.jpg</t>
  </si>
  <si>
    <t>VO81-090</t>
  </si>
  <si>
    <t>VO81-090.jpg</t>
  </si>
  <si>
    <t>Migmatized hornblende monzodiorite intruded by migmatized amphibolite</t>
  </si>
  <si>
    <t>VO81-091</t>
  </si>
  <si>
    <t>VO81-091.jpg</t>
  </si>
  <si>
    <t>Migmatitic granodiorite</t>
  </si>
  <si>
    <t>CG85-488</t>
  </si>
  <si>
    <t>CG85-488.2.jpg</t>
  </si>
  <si>
    <t>85-05</t>
  </si>
  <si>
    <t>SEP 85T2</t>
  </si>
  <si>
    <t>Biotite muscovite metasedimentary gneiss</t>
  </si>
  <si>
    <t>CG85-532</t>
  </si>
  <si>
    <t>CG85-532.3.jpg</t>
  </si>
  <si>
    <t>85-08</t>
  </si>
  <si>
    <t>Mafic dyke intruding pink granite; geochron. sample site</t>
  </si>
  <si>
    <t>CG85-534</t>
  </si>
  <si>
    <t>CG85-534.1.jpg</t>
  </si>
  <si>
    <t>Well-banded gneiss with black dykes</t>
  </si>
  <si>
    <t>CG85-534.2.jpg</t>
  </si>
  <si>
    <t>CG85-538</t>
  </si>
  <si>
    <t>CG85-538.2.jpg</t>
  </si>
  <si>
    <t>Older fabric tectonically transposed by younger fabric</t>
  </si>
  <si>
    <t>CG85-538.1.jpg</t>
  </si>
  <si>
    <t>CG87-580</t>
  </si>
  <si>
    <t>CG87-580.2.jpg</t>
  </si>
  <si>
    <t>87-09</t>
  </si>
  <si>
    <t>DEC 87T</t>
  </si>
  <si>
    <t>Grey, bedded quartzite with a few semipelitic layers</t>
  </si>
  <si>
    <t>CG97-161</t>
  </si>
  <si>
    <t>CG97-161.2.jpg</t>
  </si>
  <si>
    <t>Orthogneiss: geochron. sampling site</t>
  </si>
  <si>
    <t>CG97-161.1.jpg</t>
  </si>
  <si>
    <t>97-02</t>
  </si>
  <si>
    <t>Gneiss and amphibolite in contact</t>
  </si>
  <si>
    <t>CG97-161.3.jpg</t>
  </si>
  <si>
    <t>Amphibolite: geochron. sampling site</t>
  </si>
  <si>
    <t>CG97-161.7.jpg</t>
  </si>
  <si>
    <t>Foliated granite, geochronology site</t>
  </si>
  <si>
    <t>CG81-306</t>
  </si>
  <si>
    <t>CG81-306.13.jpg</t>
  </si>
  <si>
    <t>81-06</t>
  </si>
  <si>
    <t>Gabbro forming lower half of layered gabbronorite-monzonite unit</t>
  </si>
  <si>
    <t>CG84-072</t>
  </si>
  <si>
    <t>CG84-072.2.jpg</t>
  </si>
  <si>
    <t>84-01</t>
  </si>
  <si>
    <t>AUG 84T3</t>
  </si>
  <si>
    <t>K-feldspar megacrystic granodiorite, dextral shear sense</t>
  </si>
  <si>
    <t>CG84-072.1.jpg</t>
  </si>
  <si>
    <t>CG84-142</t>
  </si>
  <si>
    <t>CG84-142.jpg</t>
  </si>
  <si>
    <t>CG85-548.2.jpg</t>
  </si>
  <si>
    <t>Sheared plagioclase-phyric mafic dyke</t>
  </si>
  <si>
    <t>VN91-155</t>
  </si>
  <si>
    <t>VN91-155.2.jpg</t>
  </si>
  <si>
    <t>Strongly foliated diorite</t>
  </si>
  <si>
    <t>VN91-163.1.jpg</t>
  </si>
  <si>
    <t>Foliated biotite granodiorite</t>
  </si>
  <si>
    <t>NN80-123</t>
  </si>
  <si>
    <t>NN80-123.2.jpg</t>
  </si>
  <si>
    <t>80-13</t>
  </si>
  <si>
    <t>Plagioclase-phyric amphibolite dyke discordantly intruding K-feldspar megacrystic granodiorite gneiss</t>
  </si>
  <si>
    <t>MN86-210</t>
  </si>
  <si>
    <t>MN86-210.2.jpg</t>
  </si>
  <si>
    <t>K-feldspar megacrystic granodiorite intruded by granitic dykes of Gilbert Bay pluton</t>
  </si>
  <si>
    <t>MN86-212</t>
  </si>
  <si>
    <t>MN86-212.jpg</t>
  </si>
  <si>
    <t>K-feldspar porphyroclastic granodiorite</t>
  </si>
  <si>
    <t>MN86-216</t>
  </si>
  <si>
    <t>MN86-216.2.jpg</t>
  </si>
  <si>
    <t>Strongly deformed K-feldspar megacrystic granodiorite intruded by composite granitic dyke</t>
  </si>
  <si>
    <t>VN91-342</t>
  </si>
  <si>
    <t>VN91-342.1.jpg</t>
  </si>
  <si>
    <t>Large garnets in metasedimentary gneiss</t>
  </si>
  <si>
    <t>VN91-358</t>
  </si>
  <si>
    <t>VN91-358.3.jpg</t>
  </si>
  <si>
    <t>SN86-136.1.jpg</t>
  </si>
  <si>
    <t>Boudin of K-feldspar in rock probably derived from K-feldspar megacrystic granitoid</t>
  </si>
  <si>
    <t>SN86-138</t>
  </si>
  <si>
    <t>SN86-138.jpg</t>
  </si>
  <si>
    <t>Pods of hornblendite within anorthosite(?)</t>
  </si>
  <si>
    <t>CG07-173</t>
  </si>
  <si>
    <t>CG07-173.3.jpg</t>
  </si>
  <si>
    <t>Blue flower</t>
  </si>
  <si>
    <t>CG07-173.4.jpg</t>
  </si>
  <si>
    <t>Z-buckled pegmatites</t>
  </si>
  <si>
    <t>CG07-174</t>
  </si>
  <si>
    <t>CG07-174.1.jpg</t>
  </si>
  <si>
    <t>Psammite with pegmatite</t>
  </si>
  <si>
    <t>CG07-174.2.jpg</t>
  </si>
  <si>
    <t>Psammite with quartz vein</t>
  </si>
  <si>
    <t>RG80-341</t>
  </si>
  <si>
    <t>RG80-341.2.jpg</t>
  </si>
  <si>
    <t>80-22</t>
  </si>
  <si>
    <t>MAY 81T6</t>
  </si>
  <si>
    <t>RG80-341.1.jpg</t>
  </si>
  <si>
    <t>VN85-493</t>
  </si>
  <si>
    <t>VN85-493.2.jpg</t>
  </si>
  <si>
    <t>85-20</t>
  </si>
  <si>
    <t>SEP 85T5</t>
  </si>
  <si>
    <t>Psammite interlayered with calc-silicate rock and intruded by granitic dyke</t>
  </si>
  <si>
    <t>VN91-240</t>
  </si>
  <si>
    <t>VN91-240.jpg</t>
  </si>
  <si>
    <t>Strongly foliated hornblende biotite quartz monzonite</t>
  </si>
  <si>
    <t>CG81-632</t>
  </si>
  <si>
    <t>CG81-632.1.jpg</t>
  </si>
  <si>
    <t>Pegmatite with large K-feldspar and hornblende intruding garnetiferous metagabbro</t>
  </si>
  <si>
    <t>CG81-632.2.jpg</t>
  </si>
  <si>
    <t>CG81-633</t>
  </si>
  <si>
    <t>CG81-633.jpg</t>
  </si>
  <si>
    <t>Gabbro boudin in granodiorite/tonalite gneiss</t>
  </si>
  <si>
    <t>CG81-634</t>
  </si>
  <si>
    <t>CG81-634.jpg</t>
  </si>
  <si>
    <t>Mylonite zone in garnetiferous metagabbro</t>
  </si>
  <si>
    <t>CG81-644</t>
  </si>
  <si>
    <t>CG81-644.1.jpg</t>
  </si>
  <si>
    <t>81-07</t>
  </si>
  <si>
    <t>Agmatitic contact between gabbro and tonalite/granodiorite gneiss</t>
  </si>
  <si>
    <t>CG81-644.3.jpg</t>
  </si>
  <si>
    <t>Incipient melting in tonalite/granodiorite gneiss</t>
  </si>
  <si>
    <t>CG81-644.2.jpg</t>
  </si>
  <si>
    <t>Boudinage and quartzofeldspathic segregation</t>
  </si>
  <si>
    <t>CG81-672</t>
  </si>
  <si>
    <t>CG81-672.jpg</t>
  </si>
  <si>
    <t>Homogeneous diatexite</t>
  </si>
  <si>
    <t>VN95-111</t>
  </si>
  <si>
    <t>VN95-111.2.jpg</t>
  </si>
  <si>
    <t>Monzonite intruded by amphibolite dyke; both intruded by Mealy dyke</t>
  </si>
  <si>
    <t>CG80-144</t>
  </si>
  <si>
    <t>CG80-144.jpg</t>
  </si>
  <si>
    <t>Dark weathering tonalite with isoclinal folds</t>
  </si>
  <si>
    <t>CG80-145</t>
  </si>
  <si>
    <t>CG80-145.jpg</t>
  </si>
  <si>
    <t>Granodioritic gneiss discordantly intruded by pegmatite</t>
  </si>
  <si>
    <t>CG80-147</t>
  </si>
  <si>
    <t>CG80-147.jpg</t>
  </si>
  <si>
    <t>Granodioritic gneiss with mafic dyke, isoclinally folded then refolded</t>
  </si>
  <si>
    <t>CG80-150</t>
  </si>
  <si>
    <t>CG80-150.1.jpg</t>
  </si>
  <si>
    <t>Folding in gneisses</t>
  </si>
  <si>
    <t>CG80-150.2.jpg</t>
  </si>
  <si>
    <t>GM85-497</t>
  </si>
  <si>
    <t>GM85-497.2.jpg</t>
  </si>
  <si>
    <t>85-10</t>
  </si>
  <si>
    <t>AUG 85T7</t>
  </si>
  <si>
    <t>GM85-497.4.jpg</t>
  </si>
  <si>
    <t>Discordant quartzofeldspathic segregations</t>
  </si>
  <si>
    <t>CG93-455</t>
  </si>
  <si>
    <t>CG93-455.1.jpg</t>
  </si>
  <si>
    <t>93-06</t>
  </si>
  <si>
    <t>AUG 93D</t>
  </si>
  <si>
    <t>Horizontal cleavage in fine-grained rocks of supracrustal/mylonitic origin</t>
  </si>
  <si>
    <t>CG82-027</t>
  </si>
  <si>
    <t>CG82-027.2.jpg</t>
  </si>
  <si>
    <t>82-01</t>
  </si>
  <si>
    <t>Pottles Bay intrusion, on coast, south side</t>
  </si>
  <si>
    <t>MC77-079</t>
  </si>
  <si>
    <t>MC77-079.3.jpg</t>
  </si>
  <si>
    <t>Flaggy metasedimentary(?) gneiss with leucosome</t>
  </si>
  <si>
    <t>MC77-079.1.jpg</t>
  </si>
  <si>
    <t>MC77-079.2.jpg</t>
  </si>
  <si>
    <t>CG99-066</t>
  </si>
  <si>
    <t>CG99-066.1.jpg</t>
  </si>
  <si>
    <t>Banded mafic gneiss (granulitic?)</t>
  </si>
  <si>
    <t>CG03-215</t>
  </si>
  <si>
    <t>CG03-215.2.jpg</t>
  </si>
  <si>
    <t>Horizontal lineation/shears</t>
  </si>
  <si>
    <t>CG03-217</t>
  </si>
  <si>
    <t>CG03-217.jpg</t>
  </si>
  <si>
    <t>Alexis River with causeway/bridge in middle distance</t>
  </si>
  <si>
    <t>CG03-220</t>
  </si>
  <si>
    <t>CG03-220.jpg</t>
  </si>
  <si>
    <t>Migmatitic amphibolite</t>
  </si>
  <si>
    <t>CG03-227</t>
  </si>
  <si>
    <t>CG03-227.jpg</t>
  </si>
  <si>
    <t>Subhorizontal lineations</t>
  </si>
  <si>
    <t>CG03-230</t>
  </si>
  <si>
    <t>CG03-230.jpg</t>
  </si>
  <si>
    <t>Kinematic indicators, top (southwest) to right</t>
  </si>
  <si>
    <t>CG03-231</t>
  </si>
  <si>
    <t>CG03-231.jpg</t>
  </si>
  <si>
    <t>CG03-250</t>
  </si>
  <si>
    <t>CG03-250.jpg</t>
  </si>
  <si>
    <t>Kinematic indicators, left (south)-side-up</t>
  </si>
  <si>
    <t>CG03-252</t>
  </si>
  <si>
    <t>CG03-252.jpg</t>
  </si>
  <si>
    <t>Kinematic indicators, north (right)-side-up</t>
  </si>
  <si>
    <t>CG03-273</t>
  </si>
  <si>
    <t>CG03-273.1.jpg</t>
  </si>
  <si>
    <t>Porcupine 1</t>
  </si>
  <si>
    <t>CG03-273.2.jpg</t>
  </si>
  <si>
    <t>Porcupine 2</t>
  </si>
  <si>
    <t>CG03-273.3.jpg</t>
  </si>
  <si>
    <t>Porcupine 3</t>
  </si>
  <si>
    <t>CG03-273.4.jpg</t>
  </si>
  <si>
    <t>Porcupine 4</t>
  </si>
  <si>
    <t>CG03-276</t>
  </si>
  <si>
    <t>CG03-276.jpg</t>
  </si>
  <si>
    <t>K-fs megacrystic granitoid rock</t>
  </si>
  <si>
    <t>CG81-150</t>
  </si>
  <si>
    <t>CG81-150.jpg</t>
  </si>
  <si>
    <t>North-verging folds in metasedimentary diatexite</t>
  </si>
  <si>
    <t>CG81-154</t>
  </si>
  <si>
    <t>CG81-154.jpg</t>
  </si>
  <si>
    <t>Psammitic to pelitic gneiss</t>
  </si>
  <si>
    <t>VN91-114</t>
  </si>
  <si>
    <t>VN91-114.3.jpg</t>
  </si>
  <si>
    <t>K-feldspar megacrystic granite (intrudes granite gneiss)</t>
  </si>
  <si>
    <t>CG03-113</t>
  </si>
  <si>
    <t>CG03-113.2.jpg</t>
  </si>
  <si>
    <t>Psammitic gneiss</t>
  </si>
  <si>
    <t>GM85-642</t>
  </si>
  <si>
    <t>GM85-642.1.jpg</t>
  </si>
  <si>
    <t>85-15</t>
  </si>
  <si>
    <t>Mylonitic syenite/granite and K-feldspar megacrystic diorite</t>
  </si>
  <si>
    <t>GM85-642.2.jpg</t>
  </si>
  <si>
    <t>GM85-649</t>
  </si>
  <si>
    <t>GM85-649.4.jpg</t>
  </si>
  <si>
    <t>85-16</t>
  </si>
  <si>
    <t>SEP 85T4</t>
  </si>
  <si>
    <t>Syenite/granite intruding gneissic granodiorite</t>
  </si>
  <si>
    <t>GM85-649.1.jpg</t>
  </si>
  <si>
    <t>Syenite/granite interleaved with grey biotite granodiorite</t>
  </si>
  <si>
    <t>GM85-649.2.jpg</t>
  </si>
  <si>
    <t>GM85-649.3.jpg</t>
  </si>
  <si>
    <t>GM85-649.5.jpg</t>
  </si>
  <si>
    <t>Fold? in gneissic granodiorite around syenite/granite</t>
  </si>
  <si>
    <t>NN80-026</t>
  </si>
  <si>
    <t>NN80-026.1.jpg</t>
  </si>
  <si>
    <t>80-10</t>
  </si>
  <si>
    <t>JUL 80T2</t>
  </si>
  <si>
    <t>Phylonite layer in sheared rock</t>
  </si>
  <si>
    <t>NN80-040</t>
  </si>
  <si>
    <t>NN80-040.jpg</t>
  </si>
  <si>
    <t>Amphibolite in granitic leucosome</t>
  </si>
  <si>
    <t>NN80-055</t>
  </si>
  <si>
    <t>NN80-055.jpg</t>
  </si>
  <si>
    <t>Tonalite/Granodiorite gneiss</t>
  </si>
  <si>
    <t>CG85-418</t>
  </si>
  <si>
    <t>CG85-418.4.jpg</t>
  </si>
  <si>
    <t>85-03</t>
  </si>
  <si>
    <t>AUG 85T</t>
  </si>
  <si>
    <t>Mylonitic fabric in enclave of deformed rock</t>
  </si>
  <si>
    <t>CG85-418.6.jpg</t>
  </si>
  <si>
    <t>Enclave of diorite in mafic feeder dyke</t>
  </si>
  <si>
    <t>CG85-447</t>
  </si>
  <si>
    <t>CG85-447.jpg</t>
  </si>
  <si>
    <t>Migmatitic amphibolite/diorite</t>
  </si>
  <si>
    <t>VN91-233</t>
  </si>
  <si>
    <t>VN91-233.2.jpg</t>
  </si>
  <si>
    <t>K-feldspar megacrystic biotite hornblende magnetite quartz monzonite</t>
  </si>
  <si>
    <t>VN91-233.1.jpg</t>
  </si>
  <si>
    <t>CG87-422</t>
  </si>
  <si>
    <t>CG87-422.jpg</t>
  </si>
  <si>
    <t>87-03</t>
  </si>
  <si>
    <t>AUG 87T</t>
  </si>
  <si>
    <t>Folded foliation in granite</t>
  </si>
  <si>
    <t>AL78-032</t>
  </si>
  <si>
    <t>AL78-032.1.jpg</t>
  </si>
  <si>
    <t>78-01</t>
  </si>
  <si>
    <t>AUG 78T5</t>
  </si>
  <si>
    <t>K-feldspar augen granite</t>
  </si>
  <si>
    <t>AL78-032.2.jpg</t>
  </si>
  <si>
    <t>Gabbro xenoliths in granitic leucosome</t>
  </si>
  <si>
    <t>AL78-033</t>
  </si>
  <si>
    <t>AL78-033.jpg</t>
  </si>
  <si>
    <t>Contact between quartz-feldspathic rock (metasediment?) and gabbro-granite migmatite</t>
  </si>
  <si>
    <t>CG81-611</t>
  </si>
  <si>
    <t>CG81-611.jpg</t>
  </si>
  <si>
    <t>K-feldspar megacrystic granite marginal to Mealy Mountains intruded by Mealy dyke</t>
  </si>
  <si>
    <t>CG80-317</t>
  </si>
  <si>
    <t>CG80-317.1.jpg</t>
  </si>
  <si>
    <t>80-06</t>
  </si>
  <si>
    <t>Baby gull</t>
  </si>
  <si>
    <t>CG80-317.2.jpg</t>
  </si>
  <si>
    <t>Isoclinally folded amphibolite and pegmatite, tectonically truncated</t>
  </si>
  <si>
    <t>CG80-319</t>
  </si>
  <si>
    <t>CG80-319.jpg</t>
  </si>
  <si>
    <t>Biotite tonalite to granodiorite  with 25% leucosome</t>
  </si>
  <si>
    <t>CG80-321</t>
  </si>
  <si>
    <t>CG80-321.3.jpg</t>
  </si>
  <si>
    <t>Omega-folded mafic dyke</t>
  </si>
  <si>
    <t>CG80-321.5.jpg</t>
  </si>
  <si>
    <t>CG80-321.4.jpg</t>
  </si>
  <si>
    <t>CG87-568</t>
  </si>
  <si>
    <t>CG87-568.2.jpg</t>
  </si>
  <si>
    <t>87-08</t>
  </si>
  <si>
    <t>SEP 87T03</t>
  </si>
  <si>
    <t>Pegmatite segregation with magnetite core</t>
  </si>
  <si>
    <t>CG87-568.3.jpg</t>
  </si>
  <si>
    <t>CG87-568.1.jpg</t>
  </si>
  <si>
    <t>CG87-569</t>
  </si>
  <si>
    <t>CG87-569.jpg</t>
  </si>
  <si>
    <t>GF81-340</t>
  </si>
  <si>
    <t>GF81-340.1.jpg</t>
  </si>
  <si>
    <t>81-10</t>
  </si>
  <si>
    <t>Sheared, flaggy diabase dyke. Fault breccia</t>
  </si>
  <si>
    <t>GF81-340.2.jpg</t>
  </si>
  <si>
    <t>Sheared, flaggy granodiorite host. Fault breccia</t>
  </si>
  <si>
    <t>GF81-367</t>
  </si>
  <si>
    <t>GF81-367.jpg</t>
  </si>
  <si>
    <t>Agmatized amphibolite with granodiorite gneiss in background</t>
  </si>
  <si>
    <t>CG93-126</t>
  </si>
  <si>
    <t>CG93-126.1.jpg</t>
  </si>
  <si>
    <t>Recrystallized syenite</t>
  </si>
  <si>
    <t>CG93-126.2.jpg</t>
  </si>
  <si>
    <t>Recumbent z-folds defined by amphibolite within syenite</t>
  </si>
  <si>
    <t>CG93-127</t>
  </si>
  <si>
    <t>CG93-127.jpg</t>
  </si>
  <si>
    <t>Recumbent folding of amphibolite and syenite</t>
  </si>
  <si>
    <t>CG93-132</t>
  </si>
  <si>
    <t>CG93-132.jpg</t>
  </si>
  <si>
    <t>Tightly folded gneiss with axial planar injected material</t>
  </si>
  <si>
    <t>CG93-166</t>
  </si>
  <si>
    <t>CG93-166.jpg</t>
  </si>
  <si>
    <t>Mylonitized (straight) gneisses with K-feldspar porphyroclast</t>
  </si>
  <si>
    <t>CG95-341</t>
  </si>
  <si>
    <t>CG95-341.07.jpg</t>
  </si>
  <si>
    <t>Younger mafic dyke (with hammer) intruding amphibolite</t>
  </si>
  <si>
    <t>CG95-341.06.jpg</t>
  </si>
  <si>
    <t>CG95-341.10.jpg</t>
  </si>
  <si>
    <t>Discordant margin of mafic dyke</t>
  </si>
  <si>
    <t>VN87-407</t>
  </si>
  <si>
    <t>VN87-407.2.jpg</t>
  </si>
  <si>
    <t>87-17</t>
  </si>
  <si>
    <t>Biotite hornblende granitic gneiss</t>
  </si>
  <si>
    <t>CG81-353</t>
  </si>
  <si>
    <t>CG81-353.1.jpg</t>
  </si>
  <si>
    <t>Schistose tonalite/granodiorite gneiss showing inhomogeneous melting</t>
  </si>
  <si>
    <t>CG81-353.2.jpg</t>
  </si>
  <si>
    <t>CG81-356</t>
  </si>
  <si>
    <t>CG81-356.jpg</t>
  </si>
  <si>
    <t>Tonalite/granodiorite intruded by microgranite then mafic dyke</t>
  </si>
  <si>
    <t>RG80-062</t>
  </si>
  <si>
    <t>RG80-062.1.jpg</t>
  </si>
  <si>
    <t>Brittle fault breccia and quartz veins</t>
  </si>
  <si>
    <t>RG80-064</t>
  </si>
  <si>
    <t>RG80-064.jpg</t>
  </si>
  <si>
    <t>RG80-065</t>
  </si>
  <si>
    <t>RG80-065.4.jpg</t>
  </si>
  <si>
    <t>Low-angle fault showing drag folding at displacement</t>
  </si>
  <si>
    <t>CG07-176</t>
  </si>
  <si>
    <t>CG07-176.3.jpg</t>
  </si>
  <si>
    <t>Brittle fault, dextrally offsetting pegmatite</t>
  </si>
  <si>
    <t>CG07-176.4.jpg</t>
  </si>
  <si>
    <t>Amphibolite (dark) and pegmatite</t>
  </si>
  <si>
    <t>DE91-116</t>
  </si>
  <si>
    <t>DE91-116.1.jpg</t>
  </si>
  <si>
    <t>91-08</t>
  </si>
  <si>
    <t>AUG 91TO3</t>
  </si>
  <si>
    <t>DE91-116.2.jpg</t>
  </si>
  <si>
    <t>DE91-118</t>
  </si>
  <si>
    <t>DE91-118.jpg</t>
  </si>
  <si>
    <t>DE91-120</t>
  </si>
  <si>
    <t>DE91-120.jpg</t>
  </si>
  <si>
    <t>Folded metasedimentary gneiss</t>
  </si>
  <si>
    <t>DE91-121</t>
  </si>
  <si>
    <t>DE91-121.jpg</t>
  </si>
  <si>
    <t>DE91-124</t>
  </si>
  <si>
    <t>DE91-124.jpg</t>
  </si>
  <si>
    <t>DE91-125</t>
  </si>
  <si>
    <t>DE91-125.jpg</t>
  </si>
  <si>
    <t>Foliated to gneissic K-feldspar megacrystic granite</t>
  </si>
  <si>
    <t>DE91-126</t>
  </si>
  <si>
    <t>DE91-126.jpg</t>
  </si>
  <si>
    <t>K-feldspar megacrystic granite with granitic veins</t>
  </si>
  <si>
    <t>DL93-005</t>
  </si>
  <si>
    <t>DL93-005.jpg</t>
  </si>
  <si>
    <t>93-07</t>
  </si>
  <si>
    <t>AUG 93C</t>
  </si>
  <si>
    <t>Road south of Red Bay</t>
  </si>
  <si>
    <t>DL93-042</t>
  </si>
  <si>
    <t>DL93-042.jpg</t>
  </si>
  <si>
    <t>93-09</t>
  </si>
  <si>
    <t>AUG 93A</t>
  </si>
  <si>
    <t>Foliated quartz monzonite and granitic vein</t>
  </si>
  <si>
    <t>DL93-048</t>
  </si>
  <si>
    <t>DL93-048.jpg</t>
  </si>
  <si>
    <t>Foliated quartz syenite</t>
  </si>
  <si>
    <t>CG87-488.10.jpg</t>
  </si>
  <si>
    <t>Purple fluorite in pegmatite associated with metasedimentary gneiss</t>
  </si>
  <si>
    <t>CG87-488.11.jpg</t>
  </si>
  <si>
    <t>CG04-245.2.jpg</t>
  </si>
  <si>
    <t>Leucoamphibolite with ultramafic stringers</t>
  </si>
  <si>
    <t>CG87-055</t>
  </si>
  <si>
    <t>CG87-055.08.jpg</t>
  </si>
  <si>
    <t>87-02</t>
  </si>
  <si>
    <t>AUG 87T03</t>
  </si>
  <si>
    <t>Magnetite marginal to leucosome pod in metasedimentary gneiss</t>
  </si>
  <si>
    <t>CG87-055.05.jpg</t>
  </si>
  <si>
    <t>Tightly folded metasedimentary gneiss</t>
  </si>
  <si>
    <t>CG87-055.09.jpg</t>
  </si>
  <si>
    <t>Blue corundum (cf. Sapphire) porphyroblasts in metasedimentary gneiss</t>
  </si>
  <si>
    <t>JS87-588</t>
  </si>
  <si>
    <t>JS87-588.jpg</t>
  </si>
  <si>
    <t>87-13</t>
  </si>
  <si>
    <t>Foliated granite, amphibolite, and discordant microgranite and pegmatite dykes</t>
  </si>
  <si>
    <t>AL78-236</t>
  </si>
  <si>
    <t>AL78-236.jpg</t>
  </si>
  <si>
    <t>78-03</t>
  </si>
  <si>
    <t>AUG 78T3</t>
  </si>
  <si>
    <t>Schlieric layered migmatitic rock</t>
  </si>
  <si>
    <t>AL78-243</t>
  </si>
  <si>
    <t>AL78-243.jpg</t>
  </si>
  <si>
    <t>Dioritic xenoliths with fuzzy margins, in Benedict-type granite</t>
  </si>
  <si>
    <t>AL78-257</t>
  </si>
  <si>
    <t>AL78-257.jpg</t>
  </si>
  <si>
    <t>Shear zones in Benedict-type granite</t>
  </si>
  <si>
    <t>NN80-025</t>
  </si>
  <si>
    <t>NN80-025.3.jpg</t>
  </si>
  <si>
    <t>Boudins of metagabbro in tonalitic gneiss</t>
  </si>
  <si>
    <t>NN80-025.2.jpg</t>
  </si>
  <si>
    <t>NN80-025.1.jpg</t>
  </si>
  <si>
    <t>Leucosome in metagabbro</t>
  </si>
  <si>
    <t>NN80-026.2.jpg</t>
  </si>
  <si>
    <t>North-plunging folds</t>
  </si>
  <si>
    <t>NN80-026.3.jpg</t>
  </si>
  <si>
    <t>Small fold in phylonite</t>
  </si>
  <si>
    <t>VN93-311</t>
  </si>
  <si>
    <t>VN93-311.2.jpg</t>
  </si>
  <si>
    <t>93-15</t>
  </si>
  <si>
    <t>Banding in orthogneiss intruded by discordant granite vein</t>
  </si>
  <si>
    <t>VN93-311.3.jpg</t>
  </si>
  <si>
    <t>Banding in orthogneiss</t>
  </si>
  <si>
    <t>VN93-320</t>
  </si>
  <si>
    <t>VN93-320.1.jpg</t>
  </si>
  <si>
    <t>Coarse-grained, weakly foliated, Picton Pond quartz monzonite; rapakivi textured</t>
  </si>
  <si>
    <t>CG04-149</t>
  </si>
  <si>
    <t>CG04-149.1.jpg</t>
  </si>
  <si>
    <t>Hawk</t>
  </si>
  <si>
    <t>VN85-416</t>
  </si>
  <si>
    <t>VN85-416.1.jpg</t>
  </si>
  <si>
    <t>85-19</t>
  </si>
  <si>
    <t>AUG 85T3</t>
  </si>
  <si>
    <t>Layering in monzonitic gabbro</t>
  </si>
  <si>
    <t>VN85-419</t>
  </si>
  <si>
    <t>VN85-419.2.jpg</t>
  </si>
  <si>
    <t>Gneissic zone in monzonite/gabbro</t>
  </si>
  <si>
    <t>VN85-419.3.jpg</t>
  </si>
  <si>
    <t>VN85-419.1.jpg</t>
  </si>
  <si>
    <t>Folding in monzonite</t>
  </si>
  <si>
    <t>VN92-308</t>
  </si>
  <si>
    <t>VN92-308.3E.jpg</t>
  </si>
  <si>
    <t>Aerial view in Kyfanan Lake map region; survey lines</t>
  </si>
  <si>
    <t>Edited</t>
  </si>
  <si>
    <t>CG03-146</t>
  </si>
  <si>
    <t>CG03-146.3.jpg</t>
  </si>
  <si>
    <t>Granite / granodiorite gneiss with sheared amphibolite</t>
  </si>
  <si>
    <t>CG03-153</t>
  </si>
  <si>
    <t>CG03-153.1.jpg</t>
  </si>
  <si>
    <t>Calc-silicate rock (clinopyroxene)</t>
  </si>
  <si>
    <t>CG03-153.2.jpg</t>
  </si>
  <si>
    <t>Fine-grained felsic rocks (psammite?)</t>
  </si>
  <si>
    <t>NN80-146</t>
  </si>
  <si>
    <t>NN80-146.jpg</t>
  </si>
  <si>
    <t>Magnetite with leucosome haloes</t>
  </si>
  <si>
    <t>CG81-047</t>
  </si>
  <si>
    <t>CG81-047.1.jpg</t>
  </si>
  <si>
    <t>Boudinaged pegmatite in Earl Island quartz diorite</t>
  </si>
  <si>
    <t>CG81-047.2.jpg</t>
  </si>
  <si>
    <t>CG95-206</t>
  </si>
  <si>
    <t>CG95-206.1.jpg</t>
  </si>
  <si>
    <t>95-02</t>
  </si>
  <si>
    <t>Enclave in monzonite/granite of Mealy Mountains Intrusive Suite</t>
  </si>
  <si>
    <t>CG95-221</t>
  </si>
  <si>
    <t>CG95-221.1.jpg</t>
  </si>
  <si>
    <t>Monzonite of Mealy Mountains Intrusive Suite</t>
  </si>
  <si>
    <t>CG79-154</t>
  </si>
  <si>
    <t>CG79-154.2.jpg</t>
  </si>
  <si>
    <t>79-03</t>
  </si>
  <si>
    <t>Feldspathization of mafic enclaves</t>
  </si>
  <si>
    <t>CG79-154.3.jpg</t>
  </si>
  <si>
    <t>CG79-154.1.jpg</t>
  </si>
  <si>
    <t>CG79-161</t>
  </si>
  <si>
    <t>CG79-161.jpg</t>
  </si>
  <si>
    <t>Felsic agglomerate correlative with Aillik Group</t>
  </si>
  <si>
    <t>CG80-143</t>
  </si>
  <si>
    <t>CG80-143.jpg</t>
  </si>
  <si>
    <t>Intermixed granitic and tonalitic gneiss with some amphibolite</t>
  </si>
  <si>
    <t>CG04-054</t>
  </si>
  <si>
    <t>CG04-054.4.jpg</t>
  </si>
  <si>
    <t>Granodiorite gneiss intruded by mafic dyke (later phase)</t>
  </si>
  <si>
    <t>CG04-060</t>
  </si>
  <si>
    <t>CG04-060.1.jpg</t>
  </si>
  <si>
    <t>West-plunging lineations</t>
  </si>
  <si>
    <t>MN86-307</t>
  </si>
  <si>
    <t>MN86-307.jpg</t>
  </si>
  <si>
    <t>86-14</t>
  </si>
  <si>
    <t>AUG 86T</t>
  </si>
  <si>
    <t>Strongly deformed K-feldspar megacrystic granodiorite</t>
  </si>
  <si>
    <t>CG83-345</t>
  </si>
  <si>
    <t>CG83-345.3.jpg</t>
  </si>
  <si>
    <t>Leucogranulite (derived from anorthosite?), mylonitic</t>
  </si>
  <si>
    <t>GM85-547</t>
  </si>
  <si>
    <t>GM85-547.3.jpg</t>
  </si>
  <si>
    <t>Well-banded biotite granodiorite gneiss</t>
  </si>
  <si>
    <t>CG79-796</t>
  </si>
  <si>
    <t>CG79-796.2.jpg</t>
  </si>
  <si>
    <t>79-09</t>
  </si>
  <si>
    <t>SEP 79T4</t>
  </si>
  <si>
    <t>Isoclinal fold in amphibolite in tonalite/granodiorite gneiss]</t>
  </si>
  <si>
    <t>CG80-054.5.jpg</t>
  </si>
  <si>
    <t>Bakeapple flower (Cloudberry)</t>
  </si>
  <si>
    <t>CG85-310</t>
  </si>
  <si>
    <t>CG85-310.2.jpg</t>
  </si>
  <si>
    <t>Anhydrous metasedimentary gneiss; Rb-Sr geochron. sample site</t>
  </si>
  <si>
    <t>CG79-018</t>
  </si>
  <si>
    <t>CG79-018.4.jpg</t>
  </si>
  <si>
    <t>79-01</t>
  </si>
  <si>
    <t>JUL 79T2</t>
  </si>
  <si>
    <t>Mafic dyke intruded by granitic dyke</t>
  </si>
  <si>
    <t>CG79-018.3.jpg</t>
  </si>
  <si>
    <t>Felsic agglomerate intruded by mafic dyke</t>
  </si>
  <si>
    <t>CG79-119</t>
  </si>
  <si>
    <t>CG79-119.4.jpg</t>
  </si>
  <si>
    <t>Net-veined mafic dyke intruding granite and intruded by pegmatite</t>
  </si>
  <si>
    <t>CG79-119.2.jpg</t>
  </si>
  <si>
    <t>Strongly foliated K-feldspar megacrystic granodiorite</t>
  </si>
  <si>
    <t>VN92-238</t>
  </si>
  <si>
    <t>VN92-238.1.jpg</t>
  </si>
  <si>
    <t>Banded biotite-hornblende-feldspar rock</t>
  </si>
  <si>
    <t>CG86-693</t>
  </si>
  <si>
    <t>CG86-693.2.jpg</t>
  </si>
  <si>
    <t>Fresh diabase dyke (Gilbert Bay dyke); paleomag. sample site; MT</t>
  </si>
  <si>
    <t>CG95-341.05.jpg</t>
  </si>
  <si>
    <t>Mafic rock in gneiss</t>
  </si>
  <si>
    <t>AD79-234</t>
  </si>
  <si>
    <t>AD79-234.jpg</t>
  </si>
  <si>
    <t>Hornblende biotite K-feldspar megacrystic granite containing mafic schlieren</t>
  </si>
  <si>
    <t>AD79-235</t>
  </si>
  <si>
    <t>AD79-235.jpg</t>
  </si>
  <si>
    <t>Granitic gneiss containing hornblende-rich mafic pods</t>
  </si>
  <si>
    <t>AD79-261</t>
  </si>
  <si>
    <t>AD79-261.2.jpg</t>
  </si>
  <si>
    <t>Mylonite or felsic volcanic rocks?</t>
  </si>
  <si>
    <t>VN92-134</t>
  </si>
  <si>
    <t>VN92-134.jpg</t>
  </si>
  <si>
    <t>Massive, coarse-grained granite</t>
  </si>
  <si>
    <t>VN92-135</t>
  </si>
  <si>
    <t>VN92-135.1.jpg</t>
  </si>
  <si>
    <t>Medium- and coarse-grained zones in massive granite</t>
  </si>
  <si>
    <t>VN92-135.2.jpg</t>
  </si>
  <si>
    <t>Hornblende in coarse-grained granite</t>
  </si>
  <si>
    <t>RG80-015.1.jpg</t>
  </si>
  <si>
    <t>Amphibolite screens within tonalite/granodiorite gneiss</t>
  </si>
  <si>
    <t>RG80-015.2.jpg</t>
  </si>
  <si>
    <t>Tightly folded amphibolite layers in granodiorite/tonalite gneiss</t>
  </si>
  <si>
    <t>CG97-066</t>
  </si>
  <si>
    <t>CG97-066.6.jpg</t>
  </si>
  <si>
    <t>97-04</t>
  </si>
  <si>
    <t>MD (pilot) and JH</t>
  </si>
  <si>
    <t>CG97-066.2.jpg</t>
  </si>
  <si>
    <t>Waterfall on tributary of Eagle River</t>
  </si>
  <si>
    <t>CG97-067</t>
  </si>
  <si>
    <t>CG97-067.jpg</t>
  </si>
  <si>
    <t>97-01</t>
  </si>
  <si>
    <t>Texture in hornblende quartz monzonite</t>
  </si>
  <si>
    <t>CG97-068</t>
  </si>
  <si>
    <t>CG97-068.1.jpg</t>
  </si>
  <si>
    <t>Inflating zodiac at start of river traverse; JH</t>
  </si>
  <si>
    <t>CG04-046</t>
  </si>
  <si>
    <t>CG04-046.jpg</t>
  </si>
  <si>
    <t>Fine-grained granitoid rock with mafic veneers containing sillimanite and garnet</t>
  </si>
  <si>
    <t>CG04-050</t>
  </si>
  <si>
    <t>CG04-050.jpg</t>
  </si>
  <si>
    <t>Metric sinistral shear with shear occupied by pegmatite</t>
  </si>
  <si>
    <t>CG04-054.1.jpg</t>
  </si>
  <si>
    <t>CG04-054.2.jpg</t>
  </si>
  <si>
    <t>Granodiorite gneiss intruded by mafic dykes (two phase) and pegmatite</t>
  </si>
  <si>
    <t>CG85-483</t>
  </si>
  <si>
    <t>CG85-483.1.jpg</t>
  </si>
  <si>
    <t>Blocks of metasedimentary gneiss in biotite muscovite granite</t>
  </si>
  <si>
    <t>CG85-483.3.jpg</t>
  </si>
  <si>
    <t>Second stage migmatization of granite injected into metasedimentary gneiss</t>
  </si>
  <si>
    <t>CG86-095</t>
  </si>
  <si>
    <t>CG86-095.jpg</t>
  </si>
  <si>
    <t>Sillimanite pelitic metasedimentary gneiss</t>
  </si>
  <si>
    <t>CG86-097</t>
  </si>
  <si>
    <t>CG86-097.1.jpg</t>
  </si>
  <si>
    <t>Enclaves of microgabbronorite in K-feldspar megacrystic granodiorite</t>
  </si>
  <si>
    <t>CG86-097.2.jpg</t>
  </si>
  <si>
    <t>CG86-156.4.jpg</t>
  </si>
  <si>
    <t>Contact between two generations of mafic dyke</t>
  </si>
  <si>
    <t>CG93-050</t>
  </si>
  <si>
    <t>CG93-050.jpg</t>
  </si>
  <si>
    <t>Irregular, veined mafic dyke intruding granite</t>
  </si>
  <si>
    <t>CG79-018.5.jpg</t>
  </si>
  <si>
    <t>Deformed granitic dyke intruding felsic porphyry</t>
  </si>
  <si>
    <t>MC77-022</t>
  </si>
  <si>
    <t>MC77-022.2.jpg</t>
  </si>
  <si>
    <t>Isoclinal folding in well-banded amphibolite granodiorite gneiss</t>
  </si>
  <si>
    <t>MC77-022.1.jpg</t>
  </si>
  <si>
    <t>MC77-023</t>
  </si>
  <si>
    <t>MC77-023.jpg</t>
  </si>
  <si>
    <t>Amphibolitic agmatite</t>
  </si>
  <si>
    <t>MC77-025</t>
  </si>
  <si>
    <t>MC77-025.jpg</t>
  </si>
  <si>
    <t>Pyroxenite in granodioritic gneiss</t>
  </si>
  <si>
    <t>MC77-203</t>
  </si>
  <si>
    <t>MC77-203.1.jpg</t>
  </si>
  <si>
    <t>77-04</t>
  </si>
  <si>
    <t>SEP 77T1</t>
  </si>
  <si>
    <t>Migmatite (K-feldspar megacrystic granodiorite? - CFG)</t>
  </si>
  <si>
    <t>MC77-203.2.jpg</t>
  </si>
  <si>
    <t>Deformed mafic layer in K-feldspar megacrystic granodiorite</t>
  </si>
  <si>
    <t>MC77-209</t>
  </si>
  <si>
    <t>MC77-209.jpg</t>
  </si>
  <si>
    <t>MC77-214</t>
  </si>
  <si>
    <t>MC77-214.2.jpg</t>
  </si>
  <si>
    <t>Olivine with double coronas</t>
  </si>
  <si>
    <t>CG04-173</t>
  </si>
  <si>
    <t>CG04-173.6.jpg</t>
  </si>
  <si>
    <t>Rough-legged hawk 6</t>
  </si>
  <si>
    <t>CG04-173.7.jpg</t>
  </si>
  <si>
    <t>Rough-legged hawk 7</t>
  </si>
  <si>
    <t>CG04-173.8.jpg</t>
  </si>
  <si>
    <t>Rough-legged hawk 8</t>
  </si>
  <si>
    <t>CG04-196.1.jpg</t>
  </si>
  <si>
    <t>Spruce seedling struggling for survival - 2004</t>
  </si>
  <si>
    <t>CG04-196.2.jpg</t>
  </si>
  <si>
    <t>CG81-306.09.jpg</t>
  </si>
  <si>
    <t>Monzonite forming top half of layered gabbronorite-monzonite unit</t>
  </si>
  <si>
    <t>CG93-033</t>
  </si>
  <si>
    <t>CG93-033.jpg</t>
  </si>
  <si>
    <t>Contact between K-feldspar megacrystic granodiorite and later granite/syenite</t>
  </si>
  <si>
    <t>CG93-034</t>
  </si>
  <si>
    <t>CG93-034.3.jpg</t>
  </si>
  <si>
    <t>Mafic dyke containing quenched plagioclase texture</t>
  </si>
  <si>
    <t>GM85-583</t>
  </si>
  <si>
    <t>GM85-583.2.jpg</t>
  </si>
  <si>
    <t>85-14</t>
  </si>
  <si>
    <t>Hornblende quartz diorite veins intruded into amphibolite/diorite</t>
  </si>
  <si>
    <t>GM85-583.3.jpg</t>
  </si>
  <si>
    <t>CG79-029</t>
  </si>
  <si>
    <t>CG79-029.2.jpg</t>
  </si>
  <si>
    <t>Net-veined mafic dyke intruded by homogeneous mafic dyke</t>
  </si>
  <si>
    <t>CG79-038</t>
  </si>
  <si>
    <t>CG79-038.2.jpg</t>
  </si>
  <si>
    <t>Net-veined mafic dyke intruding granite</t>
  </si>
  <si>
    <t>CG80-058</t>
  </si>
  <si>
    <t>CG80-058.jpg</t>
  </si>
  <si>
    <t>Tonalite/granodiorite gneiss with metagabbro boudin</t>
  </si>
  <si>
    <t>CG80-059</t>
  </si>
  <si>
    <t>CG80-059.jpg</t>
  </si>
  <si>
    <t>Mylonitic tonalite/granodiorite gneiss</t>
  </si>
  <si>
    <t>AL78-195</t>
  </si>
  <si>
    <t>AL78-195.jpg</t>
  </si>
  <si>
    <t>78-02</t>
  </si>
  <si>
    <t>Augen texture in Benedict-type granite</t>
  </si>
  <si>
    <t>NN80-020</t>
  </si>
  <si>
    <t>NN80-020.5.jpg</t>
  </si>
  <si>
    <t>South-verging overturned folds</t>
  </si>
  <si>
    <t>SN86-015</t>
  </si>
  <si>
    <t>SN86-015.jpg</t>
  </si>
  <si>
    <t>86-17</t>
  </si>
  <si>
    <t>JUL 86</t>
  </si>
  <si>
    <t>Garnet in metasedimentary gneiss</t>
  </si>
  <si>
    <t>JS87-498</t>
  </si>
  <si>
    <t>JS87-498.3.jpg</t>
  </si>
  <si>
    <t>87-12</t>
  </si>
  <si>
    <t>Buff microgranite intruding strongly foliated granitoid rock</t>
  </si>
  <si>
    <t>JS87-507</t>
  </si>
  <si>
    <t>JS87-507.jpg</t>
  </si>
  <si>
    <t>Folded granitoid veins in amphibolite</t>
  </si>
  <si>
    <t>JS87-532</t>
  </si>
  <si>
    <t>JS87-532.jpg</t>
  </si>
  <si>
    <t>Deformed K-feldspar megacrystic granite and granitic veins, displaced along brittle fault</t>
  </si>
  <si>
    <t>JS87-544</t>
  </si>
  <si>
    <t>JS87-544.1.jpg</t>
  </si>
  <si>
    <t>JS87-544.2.jpg</t>
  </si>
  <si>
    <t>JS87-556</t>
  </si>
  <si>
    <t>JS87-556.jpg</t>
  </si>
  <si>
    <t>Crenulated hornblende diorite</t>
  </si>
  <si>
    <t>JS87-580</t>
  </si>
  <si>
    <t>JS87-580.jpg</t>
  </si>
  <si>
    <t>Brittle fault breccia</t>
  </si>
  <si>
    <t>GM85-481</t>
  </si>
  <si>
    <t>GM85-481.1.jpg</t>
  </si>
  <si>
    <t>Muscovite biotite sillimanite metasedimentary gneiss</t>
  </si>
  <si>
    <t>GM85-484</t>
  </si>
  <si>
    <t>GM85-484.3.jpg</t>
  </si>
  <si>
    <t>Banded mafic supracrustal rock</t>
  </si>
  <si>
    <t>VN95-010</t>
  </si>
  <si>
    <t>VN95-010.1.jpg</t>
  </si>
  <si>
    <t>Garnet-sillimanite restite in metasedimentary gneiss</t>
  </si>
  <si>
    <t>VN95-010.2.jpg</t>
  </si>
  <si>
    <t>Garnet-rich zones in sillimanite-bearing metasedimentary gneiss</t>
  </si>
  <si>
    <t>VN95-014</t>
  </si>
  <si>
    <t>VN95-014.1.jpg</t>
  </si>
  <si>
    <t>Migmatitic garnet-muscovite metasedimentary gneiss</t>
  </si>
  <si>
    <t>CG03-113.3.jpg</t>
  </si>
  <si>
    <t>Garnet with leucocratic haloes</t>
  </si>
  <si>
    <t>CG85-309</t>
  </si>
  <si>
    <t>CG85-309.6.jpg</t>
  </si>
  <si>
    <t>Syn-Grenvillian granite intruding gneiss</t>
  </si>
  <si>
    <t>CG85-309.1.jpg</t>
  </si>
  <si>
    <t>Enclave of granodiorite in syn-Grenvillian granite; geochron. sample site</t>
  </si>
  <si>
    <t>CG85-309.2.jpg</t>
  </si>
  <si>
    <t>Syn-Grenvillian granite; geochron. sample site</t>
  </si>
  <si>
    <t>NN84-061</t>
  </si>
  <si>
    <t>NN84-061.2.jpg</t>
  </si>
  <si>
    <t>84-08</t>
  </si>
  <si>
    <t>Metagabbro enclaves in metasedimentary diatexite</t>
  </si>
  <si>
    <t>CG81-306.23.jpg</t>
  </si>
  <si>
    <t>Aerial view of Little Grady Island gabbronorite-monzonite layered intrusion</t>
  </si>
  <si>
    <t>CG81-306.22.jpg</t>
  </si>
  <si>
    <t>CG81-306.21.jpg</t>
  </si>
  <si>
    <t>CG81-306.19.jpg</t>
  </si>
  <si>
    <t>Gabbronorite-monzonite geochron. samples</t>
  </si>
  <si>
    <t>CG81-306.12.jpg</t>
  </si>
  <si>
    <t>CG81-306.18.jpg</t>
  </si>
  <si>
    <t>Felsic enclave in gabbro</t>
  </si>
  <si>
    <t>CG81-306.17.jpg</t>
  </si>
  <si>
    <t>Glomeraporphyritic mafic dyke</t>
  </si>
  <si>
    <t>CG81-306.16.jpg</t>
  </si>
  <si>
    <t>Stellate manganese oxide? on joint surface</t>
  </si>
  <si>
    <t>CG81-306.15.jpg</t>
  </si>
  <si>
    <t>Mafic pod in monzonite (magma mixing?)</t>
  </si>
  <si>
    <t>CG81-306.14.jpg</t>
  </si>
  <si>
    <t>CG81-306.29.jpg</t>
  </si>
  <si>
    <t>85-02</t>
  </si>
  <si>
    <t>Igneous layering in Little Grady Island gabbronorite</t>
  </si>
  <si>
    <t>CG04-238</t>
  </si>
  <si>
    <t>CG04-238.jpg</t>
  </si>
  <si>
    <t>Shear bands top-side-right</t>
  </si>
  <si>
    <t>CG04-242</t>
  </si>
  <si>
    <t>CG04-242.jpg</t>
  </si>
  <si>
    <t>Side road to early warning station</t>
  </si>
  <si>
    <t>CG04-243</t>
  </si>
  <si>
    <t>CG04-243.jpg</t>
  </si>
  <si>
    <t>Ultramafite enriched in opaque oxides</t>
  </si>
  <si>
    <t>CG04-245.1.jpg</t>
  </si>
  <si>
    <t>Mylonite showing sinistral movement</t>
  </si>
  <si>
    <t>CG87-105</t>
  </si>
  <si>
    <t>CG87-105.4.jpg</t>
  </si>
  <si>
    <t>87-</t>
  </si>
  <si>
    <t>Foliated granitoid rocks intruded by massive granite; geochron. sample site</t>
  </si>
  <si>
    <t>CG87-119</t>
  </si>
  <si>
    <t>CG87-119,jpg</t>
  </si>
  <si>
    <t>Floating house on St. Lewis Inlet</t>
  </si>
  <si>
    <t>CG87-127</t>
  </si>
  <si>
    <t>CG87-127.1.jpg</t>
  </si>
  <si>
    <t>87-01</t>
  </si>
  <si>
    <t>AUG 87T05</t>
  </si>
  <si>
    <t>Massive biotite unrecrystallized granite</t>
  </si>
  <si>
    <t>CG95-016</t>
  </si>
  <si>
    <t>CG95-016.jpg</t>
  </si>
  <si>
    <t>Serpentinized dunite</t>
  </si>
  <si>
    <t>CG95-021</t>
  </si>
  <si>
    <t>CG95-021.jpg</t>
  </si>
  <si>
    <t>Well-banded gneiss interpreted as orthogneiss</t>
  </si>
  <si>
    <t>CG95-035</t>
  </si>
  <si>
    <t>CG95-035.jpg</t>
  </si>
  <si>
    <t>Amphibolite boudin in well-banded gneiss</t>
  </si>
  <si>
    <t>CG95-052</t>
  </si>
  <si>
    <t>CG95-052.jpg</t>
  </si>
  <si>
    <t>Coarse-grained granite, aplite and quartz vein</t>
  </si>
  <si>
    <t>CG95-055</t>
  </si>
  <si>
    <t>CG95-055.jpg</t>
  </si>
  <si>
    <t>Hornblende-plagioclase rock, possibly linked to Alexis anorthosite</t>
  </si>
  <si>
    <t>MC77-040</t>
  </si>
  <si>
    <t>MC77-040.1.jpg</t>
  </si>
  <si>
    <t>Pegmatite intruding Earl Island quartz diorite</t>
  </si>
  <si>
    <t>CG87-488.14.jpg</t>
  </si>
  <si>
    <t>JS86-272</t>
  </si>
  <si>
    <t>JS86-272.jpg</t>
  </si>
  <si>
    <t>86-10</t>
  </si>
  <si>
    <t>Straight sillimanite metasedimentary gneiss</t>
  </si>
  <si>
    <t>JS86-295</t>
  </si>
  <si>
    <t>JS86-295.1.jpg</t>
  </si>
  <si>
    <t>Sillimanite garnet metasedimentary gneiss</t>
  </si>
  <si>
    <t>JS86-295.2.jpg</t>
  </si>
  <si>
    <t>CG79-786</t>
  </si>
  <si>
    <t>CG79-786.2.jpg</t>
  </si>
  <si>
    <t>Lack of strain in core of net-veined metagabbro boudin in tonalite/granodiorite gneiss</t>
  </si>
  <si>
    <t>CG79-786.1.jpg</t>
  </si>
  <si>
    <t>Strain gradient at edge of net-veined metagabbro boudin in tonalite/granodiorite gneiss</t>
  </si>
  <si>
    <t>CG93-297</t>
  </si>
  <si>
    <t>CG93-297.1.jpg</t>
  </si>
  <si>
    <t>Folded fabric in granite</t>
  </si>
  <si>
    <t>DD91-055</t>
  </si>
  <si>
    <t>DD91-055.6.jpg</t>
  </si>
  <si>
    <t>Amphibolite dyke in K-feldspar megacrystic granite</t>
  </si>
  <si>
    <t>DD91-055.5.jpg</t>
  </si>
  <si>
    <t>DD91-055.4.jpg</t>
  </si>
  <si>
    <t>DD91-055.3.jpg</t>
  </si>
  <si>
    <t>GM85-476</t>
  </si>
  <si>
    <t>GM85-476.1.jpg</t>
  </si>
  <si>
    <t>Gneissic biotite granodiorite</t>
  </si>
  <si>
    <t>CG92-145</t>
  </si>
  <si>
    <t>CG92-145.3.jpg</t>
  </si>
  <si>
    <t>Deformed and recrystallized layered mafic intrusion</t>
  </si>
  <si>
    <t>NN80-144</t>
  </si>
  <si>
    <t>NN80-144.2.jpg</t>
  </si>
  <si>
    <t>Quartzite layers</t>
  </si>
  <si>
    <t>NN80-144.1.jpg</t>
  </si>
  <si>
    <t>Mylonitic gneiss, possibly of sedimentary protolith</t>
  </si>
  <si>
    <t>CG93-247</t>
  </si>
  <si>
    <t>CG93-247.1.jpg</t>
  </si>
  <si>
    <t>Refolded folds defined by felsic veins in granite</t>
  </si>
  <si>
    <t>CG93-247.2.jpg</t>
  </si>
  <si>
    <t>CG93-248</t>
  </si>
  <si>
    <t>CG93-248.jpg</t>
  </si>
  <si>
    <t>Fine-grained felsic rocks (volcanic in origin?)</t>
  </si>
  <si>
    <t>CG93-249</t>
  </si>
  <si>
    <t>CG93-249.1.jpg</t>
  </si>
  <si>
    <t>Rafts of felsic volcanic(?) rocks within granite</t>
  </si>
  <si>
    <t>DD91-039</t>
  </si>
  <si>
    <t>DD91-039.2.jpg</t>
  </si>
  <si>
    <t>Garnetiferous metasedimentary gneiss</t>
  </si>
  <si>
    <t>DD91-040</t>
  </si>
  <si>
    <t>DD91-040.jpg</t>
  </si>
  <si>
    <t>Straight/mylonitic granitic gneiss</t>
  </si>
  <si>
    <t>DD91-044</t>
  </si>
  <si>
    <t>DD91-044.3.jpg</t>
  </si>
  <si>
    <t>Granodioritic gneiss intruded by pegmatite</t>
  </si>
  <si>
    <t>RG80-047</t>
  </si>
  <si>
    <t>RG80-047.1.jpg</t>
  </si>
  <si>
    <t>Enclaves of mafic rock within mafic rock</t>
  </si>
  <si>
    <t>RG80-047.3.jpg</t>
  </si>
  <si>
    <t>RG80-047.5.jpg</t>
  </si>
  <si>
    <t>Garnet coronitic metagabbro</t>
  </si>
  <si>
    <t>CG99-029.2.jpg</t>
  </si>
  <si>
    <t>CG99-029.3.jpg</t>
  </si>
  <si>
    <t>VN91-180.2.jpg</t>
  </si>
  <si>
    <t>AL78-040</t>
  </si>
  <si>
    <t>AL78-040.1.jpg</t>
  </si>
  <si>
    <t>Igneous layering in Benedict-type granite</t>
  </si>
  <si>
    <t>AL78-040.2.jpg</t>
  </si>
  <si>
    <t>JS86-224</t>
  </si>
  <si>
    <t>JS86-224.jpg</t>
  </si>
  <si>
    <t>Mafic dyke intruding foliated (K-feldspar megacrystic?) granodiorite</t>
  </si>
  <si>
    <t>VO81-094</t>
  </si>
  <si>
    <t>VO81-094.1.jpg</t>
  </si>
  <si>
    <t>Boudinaged pegmatite in folded garnet amphibolite</t>
  </si>
  <si>
    <t>VO81-094.2.jpg</t>
  </si>
  <si>
    <t>Granodiorite/tonalite</t>
  </si>
  <si>
    <t>CG87-421</t>
  </si>
  <si>
    <t>CG87-421.2.jpg</t>
  </si>
  <si>
    <t>Amazonite in pegmatite</t>
  </si>
  <si>
    <t>CG99-045</t>
  </si>
  <si>
    <t>CG99-045.1.jpg</t>
  </si>
  <si>
    <t>Microgranite dyke with mafic enclaves in late- to post-Grenvillian quartz monzonite</t>
  </si>
  <si>
    <t>CG99-047</t>
  </si>
  <si>
    <t>CG99-047.3.jpg</t>
  </si>
  <si>
    <t>Tributary of St. Paul River</t>
  </si>
  <si>
    <t>CG99-047.1.jpg</t>
  </si>
  <si>
    <t>Anorthosite, recrystallized and deformed</t>
  </si>
  <si>
    <t>CG99-047.2.jpg</t>
  </si>
  <si>
    <t>CG99-048.1.jpg</t>
  </si>
  <si>
    <t>Melagabbro (metamorphosed) containing fine-grained amphibolite with qtz-feldspar veins</t>
  </si>
  <si>
    <t>VN93-188</t>
  </si>
  <si>
    <t>VN93-188.1.jpg</t>
  </si>
  <si>
    <t>Contact between strongly foliated granite and leucocratic granite</t>
  </si>
  <si>
    <t>VN93-188.2.jpg</t>
  </si>
  <si>
    <t>Concordant veins in foliated granite</t>
  </si>
  <si>
    <t>VN93-189</t>
  </si>
  <si>
    <t>VN93-189.jpg</t>
  </si>
  <si>
    <t>Dextral shearing in foliated granite</t>
  </si>
  <si>
    <t>VN93-193</t>
  </si>
  <si>
    <t>VN93-193.jpg</t>
  </si>
  <si>
    <t>Texture of strongly foliated granite</t>
  </si>
  <si>
    <t>CG00-211</t>
  </si>
  <si>
    <t>CG00-211.jpg</t>
  </si>
  <si>
    <t>CG00-214</t>
  </si>
  <si>
    <t>CG00-214.jpg</t>
  </si>
  <si>
    <t>Horizontal jointing in late- to post-Grenvillian granite</t>
  </si>
  <si>
    <t>CG00-215</t>
  </si>
  <si>
    <t>CG00-215.jpg</t>
  </si>
  <si>
    <t>Granitic gneiss with amphibolite layers</t>
  </si>
  <si>
    <t>CG00-219</t>
  </si>
  <si>
    <t>CG00-219.1.jpg</t>
  </si>
  <si>
    <t>00-02</t>
  </si>
  <si>
    <t>WM</t>
  </si>
  <si>
    <t>CG80-076</t>
  </si>
  <si>
    <t>CG80-076.jpg</t>
  </si>
  <si>
    <t>Buckled pegmatite in quartz diorite gneiss</t>
  </si>
  <si>
    <t>CG80-077</t>
  </si>
  <si>
    <t>CG80-077.jpg</t>
  </si>
  <si>
    <t>Granodiorite gneiss with agmatized amphibolite</t>
  </si>
  <si>
    <t>CG81-556</t>
  </si>
  <si>
    <t>CG81-556.1.jpg</t>
  </si>
  <si>
    <t>84-21</t>
  </si>
  <si>
    <t>SEP 84T3</t>
  </si>
  <si>
    <t>Shear bands indicating dextral transposition</t>
  </si>
  <si>
    <t>CG81-556.2.jpg</t>
  </si>
  <si>
    <t>K-feldspar megacrystic granite marginal to Mealy Mountains</t>
  </si>
  <si>
    <t>CG81-556.4.jpg</t>
  </si>
  <si>
    <t>CG81-352</t>
  </si>
  <si>
    <t>CG81-352.2.jpg</t>
  </si>
  <si>
    <t>Schistose tonalite/granodiorite gneiss with abundant pegmatite</t>
  </si>
  <si>
    <t>AL78-027</t>
  </si>
  <si>
    <t>AL78-027.jpg</t>
  </si>
  <si>
    <t>Benedict-type granite with numerous small mafic enclaves</t>
  </si>
  <si>
    <t>JS86-443</t>
  </si>
  <si>
    <t>JS86-443.jpg</t>
  </si>
  <si>
    <t>Deformed coronitic gabbronorite</t>
  </si>
  <si>
    <t>JS86-451</t>
  </si>
  <si>
    <t>JS86-451.2.jpg</t>
  </si>
  <si>
    <t>Fresh diabase dyke (Gilbert Bay dyke)</t>
  </si>
  <si>
    <t>VN93-195</t>
  </si>
  <si>
    <t>VN93-195.4.jpg</t>
  </si>
  <si>
    <t>Foliated granite tending to megacrystic texture</t>
  </si>
  <si>
    <t>CG07-149</t>
  </si>
  <si>
    <t>CG07-149.1.jpg</t>
  </si>
  <si>
    <t>Amphibolite (dark) with calc-silicate lens, and its abrupt termination</t>
  </si>
  <si>
    <t>CG07-149.2.jpg</t>
  </si>
  <si>
    <t>CG07-149.3.jpg</t>
  </si>
  <si>
    <t>CG07-150</t>
  </si>
  <si>
    <t>CG07-150.jpg</t>
  </si>
  <si>
    <t>Amphibolite (dark) with calc-silicate lenses</t>
  </si>
  <si>
    <t>CG04-095</t>
  </si>
  <si>
    <t>CG04-095.1.jpg</t>
  </si>
  <si>
    <t>Opposing shallowly-plunging lineations</t>
  </si>
  <si>
    <t>CG04-095.2.jpg</t>
  </si>
  <si>
    <t>VN92-138</t>
  </si>
  <si>
    <t>VN92-138.2.jpg</t>
  </si>
  <si>
    <t>Fine-grained granite veins intruding coarse-grained massive granite</t>
  </si>
  <si>
    <t>CG84-172</t>
  </si>
  <si>
    <t>CG84-172.15.jpg</t>
  </si>
  <si>
    <t>85-01</t>
  </si>
  <si>
    <t>Michael gabbro intruding Labradorian gneiss; geochron. sample site; slide remounted</t>
  </si>
  <si>
    <t>AL78-216</t>
  </si>
  <si>
    <t>AL78-216.jpg</t>
  </si>
  <si>
    <t>Gneissic and migmatitic quartzofeldspathic  rock related to Aillik Group?</t>
  </si>
  <si>
    <t>SN86-432</t>
  </si>
  <si>
    <t>SN86-432.3.jpg</t>
  </si>
  <si>
    <t>86-25</t>
  </si>
  <si>
    <t>SEP 86T4</t>
  </si>
  <si>
    <t>SN86-435</t>
  </si>
  <si>
    <t>SN86-435.jpg</t>
  </si>
  <si>
    <t>Amphibolite with granitic veins</t>
  </si>
  <si>
    <t>CG87-333</t>
  </si>
  <si>
    <t>CG87-333.3.jpg</t>
  </si>
  <si>
    <t>Sinistrally rotated amphibolite boudin</t>
  </si>
  <si>
    <t>CG87-333.1.jpg</t>
  </si>
  <si>
    <t>Dextrally rotated K-feldspar megacrysts</t>
  </si>
  <si>
    <t>CG87-336</t>
  </si>
  <si>
    <t>CG87-336.jpg</t>
  </si>
  <si>
    <t>Contact between amphibolitic gneiss and anorthosite</t>
  </si>
  <si>
    <t>VN91-440</t>
  </si>
  <si>
    <t>VN91-440.jpg</t>
  </si>
  <si>
    <t>Metagabbro, massive and weakly foliated</t>
  </si>
  <si>
    <t>VN91-116</t>
  </si>
  <si>
    <t>VN91-116.jpg</t>
  </si>
  <si>
    <t>Strongly foliated biotite hornblende garnet K-feldspar megacrystic granite</t>
  </si>
  <si>
    <t>VN95-176</t>
  </si>
  <si>
    <t>VN95-176.1.jpg</t>
  </si>
  <si>
    <t>95-08</t>
  </si>
  <si>
    <t>Banding in metasedimentary gneiss</t>
  </si>
  <si>
    <t>VN93-593</t>
  </si>
  <si>
    <t>VN93-593.1.jpg</t>
  </si>
  <si>
    <t>Weakly foliated, partially recrystallized Upper Beaver Brook quartz monzonite</t>
  </si>
  <si>
    <t>CG80-005</t>
  </si>
  <si>
    <t>CG80-005.jpg</t>
  </si>
  <si>
    <t>80-01</t>
  </si>
  <si>
    <t>CG80-007</t>
  </si>
  <si>
    <t>CG80-007.jpg</t>
  </si>
  <si>
    <t>Possible metasedimentary gneiss. Now mylonite</t>
  </si>
  <si>
    <t>MN86-009</t>
  </si>
  <si>
    <t>MN86-009.2.jpg</t>
  </si>
  <si>
    <t>86-12</t>
  </si>
  <si>
    <t>Coarse-grained hornblende in dioritic (metaleuconorite?) gneiss</t>
  </si>
  <si>
    <t>MN86-250</t>
  </si>
  <si>
    <t>MN86-250.jpg</t>
  </si>
  <si>
    <t>Quartz-rich layers (quartzite?) in sillimanite metasedimentary gneiss</t>
  </si>
  <si>
    <t>GM85-541</t>
  </si>
  <si>
    <t>GM85-541.2.jpg</t>
  </si>
  <si>
    <t>Mafic dyke intruding pink syenite/granite</t>
  </si>
  <si>
    <t>GM85-541.1.jpg</t>
  </si>
  <si>
    <t>GM85-546</t>
  </si>
  <si>
    <t>GM85-546.2.jpg</t>
  </si>
  <si>
    <t>Syenite/granite contact with biotite granodiorite</t>
  </si>
  <si>
    <t>GM85-546.1.jpg</t>
  </si>
  <si>
    <t>HP92-082</t>
  </si>
  <si>
    <t>HP92-082.6.jpg</t>
  </si>
  <si>
    <t>92-06</t>
  </si>
  <si>
    <t>AUG 92B</t>
  </si>
  <si>
    <t>JA92-024</t>
  </si>
  <si>
    <t>JA92-024.2.jpg</t>
  </si>
  <si>
    <t>92-08</t>
  </si>
  <si>
    <t>Foliation in fine-grained granite</t>
  </si>
  <si>
    <t>GM85-536.4.jpg</t>
  </si>
  <si>
    <t>Interlayered fine- and coarse-grained granite</t>
  </si>
  <si>
    <t>VN91-001</t>
  </si>
  <si>
    <t>VN91-001.8.jpg</t>
  </si>
  <si>
    <t>Sinistral shearing at edge of discordant granite vein</t>
  </si>
  <si>
    <t>VN91-001.7.jpg</t>
  </si>
  <si>
    <t>Dextral shearing and incipient melting in K-feldspar megacrystic granite</t>
  </si>
  <si>
    <t>VN93-093</t>
  </si>
  <si>
    <t>VN93-093.2.jpg</t>
  </si>
  <si>
    <t>93-12</t>
  </si>
  <si>
    <t>Deformed amphibolite in foliated monzonite</t>
  </si>
  <si>
    <t>CG93-698.4.jpg</t>
  </si>
  <si>
    <t>CG85-309.3.jpg</t>
  </si>
  <si>
    <t>CG85-309.5.jpg</t>
  </si>
  <si>
    <t>CG85-310.3.jpg</t>
  </si>
  <si>
    <t>CG85-310.5.jpg</t>
  </si>
  <si>
    <t>Anhydrous metasedimentary gneiss; Rb-Sr geochron. sample site; veneer of discordant mafic dyke</t>
  </si>
  <si>
    <t>CG85-310.4.jpg</t>
  </si>
  <si>
    <t>Anhydrous metasedimentary gneiss; Rb-Sr geochron. sample site; thin discordant mafic dyke</t>
  </si>
  <si>
    <t>CG85-310.1.jpg</t>
  </si>
  <si>
    <t>CG07-001</t>
  </si>
  <si>
    <t>CG07-001.1.jpg</t>
  </si>
  <si>
    <t>Granodiorite gneiss with Z-fold</t>
  </si>
  <si>
    <t>CG07-001.2.jpg</t>
  </si>
  <si>
    <t>Granodiorite gneiss with Z-folds and incipient melting along fold axes</t>
  </si>
  <si>
    <t>CG81-283</t>
  </si>
  <si>
    <t>CG81-283.3.jpg</t>
  </si>
  <si>
    <t>Mouth of White Bear River 3</t>
  </si>
  <si>
    <t>CG81-283.1.jpg</t>
  </si>
  <si>
    <t>Mouth of White Bear River 1</t>
  </si>
  <si>
    <t>CG81-283.2.jpg</t>
  </si>
  <si>
    <t>Mouth of White Bear River 2</t>
  </si>
  <si>
    <t>CG00-145</t>
  </si>
  <si>
    <t>CG00-145.jpg</t>
  </si>
  <si>
    <t>Horizontal jointing in late- to post-Grenvillian monzonite, Michaels River pluton</t>
  </si>
  <si>
    <t>CG00-146</t>
  </si>
  <si>
    <t>CG00-146.jpg</t>
  </si>
  <si>
    <t>Mafic two-pyroxene granulite-enclave in Michaels River pluton</t>
  </si>
  <si>
    <t>CG00-147</t>
  </si>
  <si>
    <t>CG00-147.1.jpg</t>
  </si>
  <si>
    <t>Well-banded granodiorite gneiss</t>
  </si>
  <si>
    <t>VN92-141</t>
  </si>
  <si>
    <t>VN92-141.2.jpg</t>
  </si>
  <si>
    <t>Granite veins intruding coarse-grained granite</t>
  </si>
  <si>
    <t>VN92-142</t>
  </si>
  <si>
    <t>VN92-142.jpg</t>
  </si>
  <si>
    <t>Texture of coarse-grained, massive granite</t>
  </si>
  <si>
    <t>VN84-506</t>
  </si>
  <si>
    <t>VN84-506.2.jpg</t>
  </si>
  <si>
    <t>84-18</t>
  </si>
  <si>
    <t>Leucocratic layers alternating with mafic layers; Alexis River anorthosite?</t>
  </si>
  <si>
    <t>VN87-449.2.jpg</t>
  </si>
  <si>
    <t>Chilled margin of diabase dyke</t>
  </si>
  <si>
    <t>JS86-258</t>
  </si>
  <si>
    <t>JS86-258.1.jpg</t>
  </si>
  <si>
    <t>JS86-258.2.jpg</t>
  </si>
  <si>
    <t>JS86-261</t>
  </si>
  <si>
    <t>JS86-261.jpg</t>
  </si>
  <si>
    <t>Anorthosite/leucogabbronorite with ilmenite</t>
  </si>
  <si>
    <t>MC77-017</t>
  </si>
  <si>
    <t>MC77-017.2.jpg</t>
  </si>
  <si>
    <t>Microgranite intruded in Earl Island quartz diorite</t>
  </si>
  <si>
    <t>MC77-017.3.jpg</t>
  </si>
  <si>
    <t>Xenoliths in granodiorite</t>
  </si>
  <si>
    <t>GM85-502</t>
  </si>
  <si>
    <t>GM85-502.jpg</t>
  </si>
  <si>
    <t>85-11</t>
  </si>
  <si>
    <t>GM85-503</t>
  </si>
  <si>
    <t>GM85-503.5.jpg</t>
  </si>
  <si>
    <t>Migmatized metasedimentary gneiss</t>
  </si>
  <si>
    <t>VN93-109</t>
  </si>
  <si>
    <t>VN93-109.jpg</t>
  </si>
  <si>
    <t>93-13</t>
  </si>
  <si>
    <t>Z-fold in coarse-grained hornblende biotite granite</t>
  </si>
  <si>
    <t>VN93-141</t>
  </si>
  <si>
    <t>VN93-141.jpg</t>
  </si>
  <si>
    <t>Concordant quartzofeldspathic vein in biotite hornblende granodiorite</t>
  </si>
  <si>
    <t>VN93-145</t>
  </si>
  <si>
    <t>VN93-145.jpg</t>
  </si>
  <si>
    <t>Texture in quartz diorite</t>
  </si>
  <si>
    <t>VN93-150</t>
  </si>
  <si>
    <t>VN93-150.jpg</t>
  </si>
  <si>
    <t>Texture in K-feldspar megacrystic granite</t>
  </si>
  <si>
    <t>CG83-312</t>
  </si>
  <si>
    <t>CG83-312.2.jpg</t>
  </si>
  <si>
    <t>83-01</t>
  </si>
  <si>
    <t>Granodiorite to quartz diorite gneiss</t>
  </si>
  <si>
    <t>CG83-312.1.jpg</t>
  </si>
  <si>
    <t>CG80-322</t>
  </si>
  <si>
    <t>CG80-322.1.jpg</t>
  </si>
  <si>
    <t>Mafic dyke, discordantly intruding very deformed (volcanic?) breccia</t>
  </si>
  <si>
    <t>CG92-066</t>
  </si>
  <si>
    <t>CG92-066.1.jpg</t>
  </si>
  <si>
    <t>92-15</t>
  </si>
  <si>
    <t>DEC 92G</t>
  </si>
  <si>
    <t>Mylonite in the Cutthroat Island thrust</t>
  </si>
  <si>
    <t>CG92-066.5.jpg</t>
  </si>
  <si>
    <t>NN84-032</t>
  </si>
  <si>
    <t>NN84-032.4.jpg</t>
  </si>
  <si>
    <t>84-07</t>
  </si>
  <si>
    <t>JUL 84T5</t>
  </si>
  <si>
    <t>Well-banded gneiss (derived from melanocratic part of Alexis River anorthosite? -CFG)</t>
  </si>
  <si>
    <t>NN84-044</t>
  </si>
  <si>
    <t>NN84-044.jpg</t>
  </si>
  <si>
    <t>Boudin trails in diatexite</t>
  </si>
  <si>
    <t>NN84-053</t>
  </si>
  <si>
    <t>NN84-053.2.jpg</t>
  </si>
  <si>
    <t>NN84-053.1.jpg</t>
  </si>
  <si>
    <t>NN84-091</t>
  </si>
  <si>
    <t>NN84-091.2.jpg</t>
  </si>
  <si>
    <t>Amphibolite enclaves in granodiorite marginal to anorthosite</t>
  </si>
  <si>
    <t>NN84-145</t>
  </si>
  <si>
    <t>NN84-145.2.jpg</t>
  </si>
  <si>
    <t>84-10</t>
  </si>
  <si>
    <t>Banded amphibolitic and granodioritic gneiss</t>
  </si>
  <si>
    <t>DD91-037.2.jpg</t>
  </si>
  <si>
    <t>DD91-037.1.jpg</t>
  </si>
  <si>
    <t>Granite gneiss, mylonitic</t>
  </si>
  <si>
    <t>DD91-039.1.jpg</t>
  </si>
  <si>
    <t>CG07-146</t>
  </si>
  <si>
    <t>CG07-146.2.jpg</t>
  </si>
  <si>
    <t>Syn-emplacement faulting and pegmatite</t>
  </si>
  <si>
    <t>CG07-147</t>
  </si>
  <si>
    <t>CG07-147.1.jpg</t>
  </si>
  <si>
    <t>Amphibolite/calc-silicate rocks with concordant and discordant pegmatite</t>
  </si>
  <si>
    <t>CG07-147.2.jpg</t>
  </si>
  <si>
    <t>Amphibolite/calc-silicate rocks showing tight fold</t>
  </si>
  <si>
    <t>CG07-148</t>
  </si>
  <si>
    <t>CG07-148.1.jpg</t>
  </si>
  <si>
    <t>Contact between dark amphibolite and calc-silicate rock</t>
  </si>
  <si>
    <t>CG07-148.2.jpg</t>
  </si>
  <si>
    <t>Andradite garnet in calc-silicate/psammitic rock</t>
  </si>
  <si>
    <t>JS87-370</t>
  </si>
  <si>
    <t>JS87-370.jpg</t>
  </si>
  <si>
    <t>87-11</t>
  </si>
  <si>
    <t>Amphibolite with white plagioclase-rich spots retrograded after garnet</t>
  </si>
  <si>
    <t>CG87-445</t>
  </si>
  <si>
    <t>CG87-445.1.jpg</t>
  </si>
  <si>
    <t>90-01</t>
  </si>
  <si>
    <t>MAY 90</t>
  </si>
  <si>
    <t>Cape Charles granite</t>
  </si>
  <si>
    <t>CG92-163.7.jpg</t>
  </si>
  <si>
    <t>Enclaves of foliated granite in Upper St. Paul River (east) monzonite</t>
  </si>
  <si>
    <t>CG92-163.8.jpg</t>
  </si>
  <si>
    <t>VN91-449</t>
  </si>
  <si>
    <t>VN91-449.jpg</t>
  </si>
  <si>
    <t>Gneiss enclaves in massive granite</t>
  </si>
  <si>
    <t>VN91-454</t>
  </si>
  <si>
    <t>VN91-454.jpg</t>
  </si>
  <si>
    <t>VN91-020.6.jpg</t>
  </si>
  <si>
    <t>Deformed muscovite pegmatite in quartz diorite gneiss</t>
  </si>
  <si>
    <t>CG92-031</t>
  </si>
  <si>
    <t>CG92-031.jpg</t>
  </si>
  <si>
    <t>92-02</t>
  </si>
  <si>
    <t>Layering in coronitic metagabbro</t>
  </si>
  <si>
    <t>CG92-039</t>
  </si>
  <si>
    <t>CG92-039.jpg</t>
  </si>
  <si>
    <t>Honey-weathering recrystallized syenite</t>
  </si>
  <si>
    <t>CG92-041</t>
  </si>
  <si>
    <t>CG92-041.jpg</t>
  </si>
  <si>
    <t>Cognate(?) xenolith in recrystallized monzonite/syenite</t>
  </si>
  <si>
    <t>RG80-004</t>
  </si>
  <si>
    <t>RG80-004.2.jpg</t>
  </si>
  <si>
    <t>Amphibolite pod with marginal reaction rim and enveloped in granodioritic gneiss</t>
  </si>
  <si>
    <t>RG80-004.1.jpg</t>
  </si>
  <si>
    <t>RG80-005</t>
  </si>
  <si>
    <t>RG80-005.4.jpg</t>
  </si>
  <si>
    <t>Granodioritic gneiss with concordant microgranite</t>
  </si>
  <si>
    <t>VN87-479</t>
  </si>
  <si>
    <t>VN87-479.2.jpg</t>
  </si>
  <si>
    <t>Well-banded quartz diorite/granodiorite</t>
  </si>
  <si>
    <t>VN87-479.1.jpg</t>
  </si>
  <si>
    <t>Recrystallized hornblende porphyroblasts in granodiorite</t>
  </si>
  <si>
    <t>VN91-424</t>
  </si>
  <si>
    <t>VN91-424.1.jpg</t>
  </si>
  <si>
    <t>91-18</t>
  </si>
  <si>
    <t>OCT 91A</t>
  </si>
  <si>
    <t>Melagabbro intruded by plagioclase-rich veins</t>
  </si>
  <si>
    <t>MN86-171.2.jpg</t>
  </si>
  <si>
    <t>Mafic dyke intruding K-feldspar megacrystic granodiorite</t>
  </si>
  <si>
    <t>CG79-162</t>
  </si>
  <si>
    <t>CG79-162.4.jpg</t>
  </si>
  <si>
    <t>Benedict Mountains south of Burnt Island 3</t>
  </si>
  <si>
    <t>CG99-050.4.jpg</t>
  </si>
  <si>
    <t>CG99-050.5.jpg</t>
  </si>
  <si>
    <t>Interlayered isoclinally folded amphibolitic gneiss and quartz monzonite/granodiorite</t>
  </si>
  <si>
    <t>CG99-050.6.jpg</t>
  </si>
  <si>
    <t>Pegmatitic segregation in amphibolite sampled for geochronology</t>
  </si>
  <si>
    <t>CG99-051</t>
  </si>
  <si>
    <t>CG99-051.jpg</t>
  </si>
  <si>
    <t>Quartz monzonite interlayered with amphibolitic gneiss; BM</t>
  </si>
  <si>
    <t>CG99-064</t>
  </si>
  <si>
    <t>CG99-064.jpg</t>
  </si>
  <si>
    <t>Wetlands and hill in southern 13B08, looking northwest (CG99-066 on river in foreground)</t>
  </si>
  <si>
    <t>CG79-314</t>
  </si>
  <si>
    <t>CG79-314.jpg</t>
  </si>
  <si>
    <t>CG79-317</t>
  </si>
  <si>
    <t>CG79-317.1.jpg</t>
  </si>
  <si>
    <t>Mylonitic rock</t>
  </si>
  <si>
    <t>CG79-317.2.jpg</t>
  </si>
  <si>
    <t>CG79-318</t>
  </si>
  <si>
    <t>CG79-318.jpg</t>
  </si>
  <si>
    <t>Foliated to gneissic granodiorite</t>
  </si>
  <si>
    <t>CG79-320</t>
  </si>
  <si>
    <t>CG79-320.jpg</t>
  </si>
  <si>
    <t>Well banded gneiss intruded by deformed mafic dyke</t>
  </si>
  <si>
    <t>CG79-321</t>
  </si>
  <si>
    <t>CG79-321.jpg</t>
  </si>
  <si>
    <t>Deformed mafic dyke in monzodiorite</t>
  </si>
  <si>
    <t>CG79-322</t>
  </si>
  <si>
    <t>CG79-322.jpg</t>
  </si>
  <si>
    <t>Buckled microgranite in amphibolite dyke intruding monzodiorite</t>
  </si>
  <si>
    <t>CG79-325</t>
  </si>
  <si>
    <t>CG79-325.jpg</t>
  </si>
  <si>
    <t>Biotite granite with sparse K-feldspar megacrysts</t>
  </si>
  <si>
    <t>JA92-139</t>
  </si>
  <si>
    <t>JA92-139.3.jpg</t>
  </si>
  <si>
    <t>92-09</t>
  </si>
  <si>
    <t>Leucogabbro in norite in layered mafic intrusion</t>
  </si>
  <si>
    <t>JA92-139.1.jpg</t>
  </si>
  <si>
    <t>Ultramafic rock</t>
  </si>
  <si>
    <t>JA92-139.2.jpg</t>
  </si>
  <si>
    <t>JS86-003</t>
  </si>
  <si>
    <t>JS86-003.jpg</t>
  </si>
  <si>
    <t>Deformed Alexis River anorthosite</t>
  </si>
  <si>
    <t>GM85-484.1.jpg</t>
  </si>
  <si>
    <t>GM85-484.4.jpg</t>
  </si>
  <si>
    <t>Well-banded metasedimentary gneiss</t>
  </si>
  <si>
    <t>GM85-484.5.jpg</t>
  </si>
  <si>
    <t>CG80-304</t>
  </si>
  <si>
    <t>CG80-304.4.jpg</t>
  </si>
  <si>
    <t>Bird's eggs</t>
  </si>
  <si>
    <t>CG80-304.2.jpg</t>
  </si>
  <si>
    <t>Granite intruded by two phases of mafic dyke</t>
  </si>
  <si>
    <t>CG80-304.3.jpg</t>
  </si>
  <si>
    <t>Granite containing grey granodiorite enclave then intruded by two phases of mafic dyke</t>
  </si>
  <si>
    <t>CG80-304.1.jpg</t>
  </si>
  <si>
    <t>Grey granodiorite/tonalite in contact with granite and intruded by mafic dyke</t>
  </si>
  <si>
    <t>CG80-305</t>
  </si>
  <si>
    <t>CG80-305.2.jpg</t>
  </si>
  <si>
    <t>Folded lineation and mafic dyke</t>
  </si>
  <si>
    <t>CG80-305.1.jpg</t>
  </si>
  <si>
    <t>Folded lineation</t>
  </si>
  <si>
    <t>CG93-761</t>
  </si>
  <si>
    <t>CG93-761.jpg</t>
  </si>
  <si>
    <t>Tectonized contact between mafic intrusion and granite with aplite dyke</t>
  </si>
  <si>
    <t>CG93-774</t>
  </si>
  <si>
    <t>CG93-774.2.jpg</t>
  </si>
  <si>
    <t>Ripple effect due to anastomosing minor folds</t>
  </si>
  <si>
    <t>CG93-774.3.jpg</t>
  </si>
  <si>
    <t>CG95-001</t>
  </si>
  <si>
    <t>CG95-001.jpg</t>
  </si>
  <si>
    <t>Pegmatite vein in quartz monzonite</t>
  </si>
  <si>
    <t>CG95-006</t>
  </si>
  <si>
    <t>CG95-006.jpg</t>
  </si>
  <si>
    <t>CG95-007</t>
  </si>
  <si>
    <t>CG95-007.jpg</t>
  </si>
  <si>
    <t>Folded foliation in K-feldspar megacrystic granitoid rock</t>
  </si>
  <si>
    <t>VN93-662.05.jpg</t>
  </si>
  <si>
    <t>VN93-664</t>
  </si>
  <si>
    <t>VN93-664.jpg</t>
  </si>
  <si>
    <t>Amazonite-bearing pegmatite</t>
  </si>
  <si>
    <t>NN80-059.2.jpg</t>
  </si>
  <si>
    <t>Horizontal displacement of amphibolite with leucosome</t>
  </si>
  <si>
    <t>NN80-059.6.jpg</t>
  </si>
  <si>
    <t>Shear zone defined by topographic hollow, and MT</t>
  </si>
  <si>
    <t>NN80-059.5.jpg</t>
  </si>
  <si>
    <t>Small shear surface at edge of large fault, and MT</t>
  </si>
  <si>
    <t>CG97-234</t>
  </si>
  <si>
    <t>CG97-234.1.jpg</t>
  </si>
  <si>
    <t>Massive, late- to post-Grenvillian granite</t>
  </si>
  <si>
    <t>CG97-234.2.jpg</t>
  </si>
  <si>
    <t>CG97-238</t>
  </si>
  <si>
    <t>CG97-238.jpg</t>
  </si>
  <si>
    <t>Folded orthogneiss (dark)</t>
  </si>
  <si>
    <t>CG97-249</t>
  </si>
  <si>
    <t>CG97-249.1.jpg</t>
  </si>
  <si>
    <t>CG98-041</t>
  </si>
  <si>
    <t>CG98-041.jpg</t>
  </si>
  <si>
    <t>Fine-grained, laminated granitoid/granulite with cps and opx</t>
  </si>
  <si>
    <t>DD91-101</t>
  </si>
  <si>
    <t>DD91-101.5.jpg</t>
  </si>
  <si>
    <t>Calc-silicate pod in metasedimentary gneiss</t>
  </si>
  <si>
    <t>DD91-101.6.jpg</t>
  </si>
  <si>
    <t>Metasedimentary gneiss enclave in granite</t>
  </si>
  <si>
    <t>DD91-101.1.jpg</t>
  </si>
  <si>
    <t>Foliated biotite granite</t>
  </si>
  <si>
    <t>DD91-101.2.jpg</t>
  </si>
  <si>
    <t>DD91-101.3.jpg</t>
  </si>
  <si>
    <t>DD91-101.4.jpg</t>
  </si>
  <si>
    <t>DD91-103</t>
  </si>
  <si>
    <t>DD91-103.jpg</t>
  </si>
  <si>
    <t>Granite gneiss</t>
  </si>
  <si>
    <t>CG83-345.5.jpg</t>
  </si>
  <si>
    <t>CG80-137</t>
  </si>
  <si>
    <t>CG80-137.jpg</t>
  </si>
  <si>
    <t>Hornblende diorite to quartz diorite gneiss</t>
  </si>
  <si>
    <t>CG81-218</t>
  </si>
  <si>
    <t>CG81-218.3.jpg</t>
  </si>
  <si>
    <t>81-x</t>
  </si>
  <si>
    <t>Inhomogenous sillimanite metasedimentary diatexite</t>
  </si>
  <si>
    <t>CG81-218.2.jpg</t>
  </si>
  <si>
    <t>CG81-218.1.jpg</t>
  </si>
  <si>
    <t>CG81-225</t>
  </si>
  <si>
    <t>CG81-225.jpg</t>
  </si>
  <si>
    <t>CG81-231</t>
  </si>
  <si>
    <t>CG81-231.2.jpg</t>
  </si>
  <si>
    <t>Dioritic to amphibolitic gneiss</t>
  </si>
  <si>
    <t>CG81-231.1.jpg</t>
  </si>
  <si>
    <t>CG81-232</t>
  </si>
  <si>
    <t>CG81-232.jpg</t>
  </si>
  <si>
    <t>Dioritic to amphibolitic gneiss; high strain zone</t>
  </si>
  <si>
    <t>CG81-233</t>
  </si>
  <si>
    <t>CG81-233.3.jpg</t>
  </si>
  <si>
    <t>Pea family</t>
  </si>
  <si>
    <t>CG81-233.1.jpg</t>
  </si>
  <si>
    <t>Diorite to granodiorite intruded by mafic dyke then pegmatite</t>
  </si>
  <si>
    <t>CG81-233.2.jpg</t>
  </si>
  <si>
    <t>Diorite to granodiorite intruded by mafic dyke then pegmatite; extreme boudinage</t>
  </si>
  <si>
    <t>RG80-061.4.jpg</t>
  </si>
  <si>
    <t>RG80-062.3.jpg</t>
  </si>
  <si>
    <t>RG80-062.2.jpg</t>
  </si>
  <si>
    <t>CG87-488.09.jpg</t>
  </si>
  <si>
    <t>Isoclinally folded calc-silicate metasedimentary gneiss</t>
  </si>
  <si>
    <t>CG87-488.18.jpg</t>
  </si>
  <si>
    <t>Cross bedding at Battle Island</t>
  </si>
  <si>
    <t>CG87-488.05.jpg</t>
  </si>
  <si>
    <t>Calc-silicate metasedimentary gneiss and pegmatite</t>
  </si>
  <si>
    <t>CG87-488.01.jpg</t>
  </si>
  <si>
    <t>Calc-silicate metasedimentary gneiss</t>
  </si>
  <si>
    <t>CG87-488.04.jpg</t>
  </si>
  <si>
    <t>Calc-silicate metasedimentary gneiss with concordant pegmatite</t>
  </si>
  <si>
    <t>VO81-579</t>
  </si>
  <si>
    <t>VO81-579.1.jpg</t>
  </si>
  <si>
    <t>Discordant, fine-grained deformed granitic dyke</t>
  </si>
  <si>
    <t>VO81-579.2.jpg</t>
  </si>
  <si>
    <t>In-situ leucosome containing magnetite</t>
  </si>
  <si>
    <t>VO81-579.3.jpg</t>
  </si>
  <si>
    <t>Quartz diorite intruded by granodiorite intruded by pegmatite</t>
  </si>
  <si>
    <t>VN85-615</t>
  </si>
  <si>
    <t>VN85-615.2.jpg</t>
  </si>
  <si>
    <t>85-21</t>
  </si>
  <si>
    <t>Mylonite zone</t>
  </si>
  <si>
    <t>VN85-615.1.jpg</t>
  </si>
  <si>
    <t>VN85-628</t>
  </si>
  <si>
    <t>VN85-628.1.jpg</t>
  </si>
  <si>
    <t>Pegmatite intruding monzonite</t>
  </si>
  <si>
    <t>VN85-628.2.jpg</t>
  </si>
  <si>
    <t>VN87-435</t>
  </si>
  <si>
    <t>VN87-435.jpg</t>
  </si>
  <si>
    <t>Folded dioritic/amphibolitic layers in foliated granite, then intruded by pegmatite</t>
  </si>
  <si>
    <t>VN91-095</t>
  </si>
  <si>
    <t>VN91-095.1.jpg</t>
  </si>
  <si>
    <t>Hornblende-rich recrystallized anorthosite/leucogabbro</t>
  </si>
  <si>
    <t>CG81-162</t>
  </si>
  <si>
    <t>CG81-162.1.jpg</t>
  </si>
  <si>
    <t>CG81-162.3.jpg</t>
  </si>
  <si>
    <t>Sparsely K-feldspar megacrystic granodiorite</t>
  </si>
  <si>
    <t>CG81-165</t>
  </si>
  <si>
    <t>CG81-165.jpg</t>
  </si>
  <si>
    <t>Mafic dyke (deformed) intruding K-feldspar megacrystic granodiorite</t>
  </si>
  <si>
    <t>CG81-168</t>
  </si>
  <si>
    <t>CG81-168.1.jpg</t>
  </si>
  <si>
    <t>Eagle River and fishing lodge</t>
  </si>
  <si>
    <t>CG81-168.2.jpg</t>
  </si>
  <si>
    <t>Eagle River 1</t>
  </si>
  <si>
    <t>CG81-168.3.jpg</t>
  </si>
  <si>
    <t>Homogenous sillimanite metasedimentary diatexite</t>
  </si>
  <si>
    <t>CG81-175</t>
  </si>
  <si>
    <t>CG81-175.12.jpg</t>
  </si>
  <si>
    <t>CG in boat powered by helicopter engine</t>
  </si>
  <si>
    <t>VN91-289</t>
  </si>
  <si>
    <t>VN91-289.jpg</t>
  </si>
  <si>
    <t>91-16</t>
  </si>
  <si>
    <t>K-feldspar megacrystic granodiorite/granite</t>
  </si>
  <si>
    <t>VN91-292</t>
  </si>
  <si>
    <t>VN91-292.3.jpg</t>
  </si>
  <si>
    <t>Fold in K-feldspar megacrystic granodiorite/granite</t>
  </si>
  <si>
    <t>CG86-018.05.jpg</t>
  </si>
  <si>
    <t>Primary orthopyroxene in Alexis River anorthosite</t>
  </si>
  <si>
    <t>CG86-018.04.jpg</t>
  </si>
  <si>
    <t>Mylonite zone in Alexis River anorthosite</t>
  </si>
  <si>
    <t>CG92-066.3.jpg</t>
  </si>
  <si>
    <t>GM85-583.6.jpg</t>
  </si>
  <si>
    <t>Amphibolite enclaves in hornblende quartz diorite</t>
  </si>
  <si>
    <t>CG86-528</t>
  </si>
  <si>
    <t>CG86-528.17.jpg</t>
  </si>
  <si>
    <t>92-16</t>
  </si>
  <si>
    <t>Garnetiferous scouriaceous(?) material at margin of massive flow</t>
  </si>
  <si>
    <t>CG86-528.16.jpg</t>
  </si>
  <si>
    <t>Pillow lava; geochron. sampling site</t>
  </si>
  <si>
    <t>CG86-528.15.jpg</t>
  </si>
  <si>
    <t>Pillow lavas</t>
  </si>
  <si>
    <t>CG86-582</t>
  </si>
  <si>
    <t>CG86-582.jpg</t>
  </si>
  <si>
    <t>Refolded metasedimentary gneiss</t>
  </si>
  <si>
    <t>CG83-318</t>
  </si>
  <si>
    <t>CG83-318.1.jpg</t>
  </si>
  <si>
    <t>Waterfall; Main River 1</t>
  </si>
  <si>
    <t>CG83-318.2.jpg</t>
  </si>
  <si>
    <t>Waterfall; Main River 2</t>
  </si>
  <si>
    <t>CG83-321</t>
  </si>
  <si>
    <t>CG83-321.2.jpg</t>
  </si>
  <si>
    <t>Granulite with discordant pegmatite</t>
  </si>
  <si>
    <t>CG83-321.1.jpg</t>
  </si>
  <si>
    <t>CG83-328</t>
  </si>
  <si>
    <t>CG83-328.3.jpg</t>
  </si>
  <si>
    <t>Kyanite semipelite</t>
  </si>
  <si>
    <t>CG83-328.1.jpg</t>
  </si>
  <si>
    <t>Calc-silicate gneiss</t>
  </si>
  <si>
    <t>CG83-328.2.jpg</t>
  </si>
  <si>
    <t>VN91-301</t>
  </si>
  <si>
    <t>VN91-301.1.jpg</t>
  </si>
  <si>
    <t>Folded leucosome in well-banded psammite</t>
  </si>
  <si>
    <t>VN91-301.3.jpg</t>
  </si>
  <si>
    <t>Large garnets in well-banded psammite</t>
  </si>
  <si>
    <t>SN86-318</t>
  </si>
  <si>
    <t>SN86-318.jpg</t>
  </si>
  <si>
    <t>Agmatized diorite</t>
  </si>
  <si>
    <t>VN91-155.5.jpg</t>
  </si>
  <si>
    <t>Fine-grained biotite granite intruding diorite</t>
  </si>
  <si>
    <t>VN91-155.1.jpg</t>
  </si>
  <si>
    <t>VN91-155.4.jpg</t>
  </si>
  <si>
    <t>Coarse-grained leucogabbro with hornblende and biotite</t>
  </si>
  <si>
    <t>VN91-155.3.jpg</t>
  </si>
  <si>
    <t>CG81-284</t>
  </si>
  <si>
    <t>CG81-284.2.jpg</t>
  </si>
  <si>
    <t>White Bear River bay</t>
  </si>
  <si>
    <t>CG81-284.1.jpg</t>
  </si>
  <si>
    <t>Grassy area, 2 km east of data stn.</t>
  </si>
  <si>
    <t>CG87-580.1.jpg</t>
  </si>
  <si>
    <t>Interlayered calc-silicate and quartzitic metasediments</t>
  </si>
  <si>
    <t>CG07-137</t>
  </si>
  <si>
    <t>CG07-137.2.jpg</t>
  </si>
  <si>
    <t>Garnet porphyroblasts in calcareous psammite; pegmatite at base</t>
  </si>
  <si>
    <t>CG07-137.3.jpg</t>
  </si>
  <si>
    <t>Phanerozoic dyke (in gully) on Great Caribou Island; from Battle Island</t>
  </si>
  <si>
    <t>MC77-011</t>
  </si>
  <si>
    <t>MC77-011.2.jpg</t>
  </si>
  <si>
    <t>Pegmatite discordantly intruding quartz diorite</t>
  </si>
  <si>
    <t>MC77-011.1.jpg</t>
  </si>
  <si>
    <t>VN91-154</t>
  </si>
  <si>
    <t>VN91-154.1.jpg</t>
  </si>
  <si>
    <t>91-13</t>
  </si>
  <si>
    <t>Strongly foliated/lineated biotite granite</t>
  </si>
  <si>
    <t>VN91-154.2.jpg</t>
  </si>
  <si>
    <t>VN91-103</t>
  </si>
  <si>
    <t>VN91-103.2.jpg</t>
  </si>
  <si>
    <t>Banding in hornblende biotite granodiorite gneiss</t>
  </si>
  <si>
    <t>DD91-048</t>
  </si>
  <si>
    <t>DD91-048.2.jpg</t>
  </si>
  <si>
    <t>Tightly folded enclave of gneiss in granite</t>
  </si>
  <si>
    <t>DD91-049</t>
  </si>
  <si>
    <t>DD91-049.2.jpg</t>
  </si>
  <si>
    <t>Garnetiferous granitic gneiss</t>
  </si>
  <si>
    <t>CG04-210.3.jpg</t>
  </si>
  <si>
    <t>CG04-210.4.jpg</t>
  </si>
  <si>
    <t>CG04-210.5.jpg</t>
  </si>
  <si>
    <t>Relative timing of granitic veins (see notebook)</t>
  </si>
  <si>
    <t>CG04-210.6.jpg</t>
  </si>
  <si>
    <t>CG04-216</t>
  </si>
  <si>
    <t>CG04-216.1.jpg</t>
  </si>
  <si>
    <t>Multiple offsets of minor pink granitic vein</t>
  </si>
  <si>
    <t>CG04-216.2.jpg</t>
  </si>
  <si>
    <t>Kinematic indicator: top to right</t>
  </si>
  <si>
    <t>CG00-179</t>
  </si>
  <si>
    <t>CG00-179.jpg</t>
  </si>
  <si>
    <t>Seriate to K-feldspar megacrystic granite to granodiorite</t>
  </si>
  <si>
    <t>DL93-280</t>
  </si>
  <si>
    <t>DL93-280.jpg</t>
  </si>
  <si>
    <t>93-10</t>
  </si>
  <si>
    <t>Quartzofeldspathic rock of probable metasedimentary origin</t>
  </si>
  <si>
    <t>DL93-281</t>
  </si>
  <si>
    <t>DL93-281.jpg</t>
  </si>
  <si>
    <t>Banded quartz-rich metasedimentary rock</t>
  </si>
  <si>
    <t>DL93-284</t>
  </si>
  <si>
    <t>DL93-284.jpg</t>
  </si>
  <si>
    <t>Banded quartz-rich metasedimentary rock intruded by pegmatite</t>
  </si>
  <si>
    <t>CG93-274</t>
  </si>
  <si>
    <t>CG93-274.1.jpg</t>
  </si>
  <si>
    <t>Pre- and post-deformation structures in granite</t>
  </si>
  <si>
    <t>CG93-274.2.jpg</t>
  </si>
  <si>
    <t>CG93-275</t>
  </si>
  <si>
    <t>CG93-275.1.jpg</t>
  </si>
  <si>
    <t>Transposition in granodiorite</t>
  </si>
  <si>
    <t>CG93-275.2.jpg</t>
  </si>
  <si>
    <t>Transposition in megacrystic granodiorite</t>
  </si>
  <si>
    <t>CG93-275.3.jpg</t>
  </si>
  <si>
    <t>Transposition of fabric in younger shear zones</t>
  </si>
  <si>
    <t>CG79-791</t>
  </si>
  <si>
    <t>CG79-791.2.jpg</t>
  </si>
  <si>
    <t>S-folds in amphibolite in gneiss</t>
  </si>
  <si>
    <t>CG79-794</t>
  </si>
  <si>
    <t>CG79-794.1.jpg</t>
  </si>
  <si>
    <t>Fine-grained felsic rock of probable supracrustal origin</t>
  </si>
  <si>
    <t>DL93-296</t>
  </si>
  <si>
    <t>DL93-296.jpg</t>
  </si>
  <si>
    <t>Banded quartzofeldspathic rock of probable volcanic origin</t>
  </si>
  <si>
    <t>DL93-301</t>
  </si>
  <si>
    <t>DL93-301.jpg</t>
  </si>
  <si>
    <t>Epidote in mafic rock</t>
  </si>
  <si>
    <t>DL93-302</t>
  </si>
  <si>
    <t>DL93-302.jpg</t>
  </si>
  <si>
    <t>Mafic rock of probable volcanic origin</t>
  </si>
  <si>
    <t>DL93-311</t>
  </si>
  <si>
    <t>DL93-311.jpg</t>
  </si>
  <si>
    <t>Strongly foliated rock of supracrustal or granitic origin</t>
  </si>
  <si>
    <t>CG85-608</t>
  </si>
  <si>
    <t>CG85-608.3.jpg</t>
  </si>
  <si>
    <t>85-07</t>
  </si>
  <si>
    <t>CG85-608.4.jpg</t>
  </si>
  <si>
    <t>CG85-608.5.jpg</t>
  </si>
  <si>
    <t>Rotated K-feldspar porphyroclast in mylonite</t>
  </si>
  <si>
    <t>CG81-714</t>
  </si>
  <si>
    <t>CG81-714.jpg</t>
  </si>
  <si>
    <t>Two periods of partial melting in tonalite/granodiorite gneiss</t>
  </si>
  <si>
    <t>CG81-715</t>
  </si>
  <si>
    <t>CG81-715.jpg</t>
  </si>
  <si>
    <t>Gneissosity truncated by gabbro</t>
  </si>
  <si>
    <t>CG81-739</t>
  </si>
  <si>
    <t>CG81-739.3.jpg</t>
  </si>
  <si>
    <t>Recumbent isoclinal fold in tonalite/granodiorite gneiss (sheath fold?)</t>
  </si>
  <si>
    <t>CG93-682</t>
  </si>
  <si>
    <t>CG93-682.jpg</t>
  </si>
  <si>
    <t>Lower Pinware River alkali-feldspar syenite</t>
  </si>
  <si>
    <t>CG93-684</t>
  </si>
  <si>
    <t>CG93-684.jpg</t>
  </si>
  <si>
    <t>Amphibolite screen in Lower Pinware River alkali-feldspar syenite</t>
  </si>
  <si>
    <t>CG93-685</t>
  </si>
  <si>
    <t>CG93-685.3.jpg</t>
  </si>
  <si>
    <t>Discordant mafic dyke intruding orthogneiss</t>
  </si>
  <si>
    <t>VN91-108</t>
  </si>
  <si>
    <t>VN91-108.2.jpg</t>
  </si>
  <si>
    <t>Folded layering in rock possibly derived from mafic supracrustal unit</t>
  </si>
  <si>
    <t>MN86-353</t>
  </si>
  <si>
    <t>MN86-353.1.jpg</t>
  </si>
  <si>
    <t>Seriate hornblende diorite intruded by mafic dyke and diorite dyke</t>
  </si>
  <si>
    <t>MN86-031</t>
  </si>
  <si>
    <t>MN86-031.2.jpg</t>
  </si>
  <si>
    <t>MN86-031.1.jpg</t>
  </si>
  <si>
    <t>MN86-033</t>
  </si>
  <si>
    <t>MN86-033.jpg</t>
  </si>
  <si>
    <t>Primary layering in layered mafic intrusion; number in original photo was  erroneous- now corrected</t>
  </si>
  <si>
    <t>MN86-035</t>
  </si>
  <si>
    <t>MN86-035.1.jpg</t>
  </si>
  <si>
    <t>Relict pod of Alexis River metagabbro in compositionally equivalent gneiss; number in original photo was  erroneous- now corrected</t>
  </si>
  <si>
    <t>MN86-035.2.jpg</t>
  </si>
  <si>
    <t>CG84-342</t>
  </si>
  <si>
    <t>CG84-342.2.jpg</t>
  </si>
  <si>
    <t>84-04</t>
  </si>
  <si>
    <t>SEP 84T1</t>
  </si>
  <si>
    <t>Metasedimentary gneiss and diatexite</t>
  </si>
  <si>
    <t>CG81-239</t>
  </si>
  <si>
    <t>CG81-239.3.jpg</t>
  </si>
  <si>
    <t>Black bears 3</t>
  </si>
  <si>
    <t>CG81-239.2.jpg</t>
  </si>
  <si>
    <t>Black bears 2</t>
  </si>
  <si>
    <t>MC77-036</t>
  </si>
  <si>
    <t>MC77-036.2.jpg</t>
  </si>
  <si>
    <t>Earl Island quartz diorite with amphibolite enclaves</t>
  </si>
  <si>
    <t>MC77-040.3.jpg</t>
  </si>
  <si>
    <t>Earl Island quartz diorite with mafic enclaves</t>
  </si>
  <si>
    <t>MC77-040.2.jpg</t>
  </si>
  <si>
    <t>Amphibolite, fine-grained granite and discordant pegmatite</t>
  </si>
  <si>
    <t>VN84-268</t>
  </si>
  <si>
    <t>VN84-268.4.jpg</t>
  </si>
  <si>
    <t>84-16</t>
  </si>
  <si>
    <t>AUG 84T5</t>
  </si>
  <si>
    <t>VN87-222</t>
  </si>
  <si>
    <t>VN87-222.jpg</t>
  </si>
  <si>
    <t>87-16</t>
  </si>
  <si>
    <t>Contact of diorite gneiss enclave and foliated granodiorite</t>
  </si>
  <si>
    <t>VN87-226</t>
  </si>
  <si>
    <t>VN87-226.jpg</t>
  </si>
  <si>
    <t>Chateau Pond late- to post-Grenvillian granite</t>
  </si>
  <si>
    <t>CG87-398</t>
  </si>
  <si>
    <t>CG87-398.2.jpg</t>
  </si>
  <si>
    <t>Banded sequence of metasedimentary(?) gneisses</t>
  </si>
  <si>
    <t>CG87-398.1.jpg</t>
  </si>
  <si>
    <t>CG87-403</t>
  </si>
  <si>
    <t>CG87-403.jpg</t>
  </si>
  <si>
    <t>Quartz syenite</t>
  </si>
  <si>
    <t>CG87-406</t>
  </si>
  <si>
    <t>CG87-406.3.jpg</t>
  </si>
  <si>
    <t>Quartz vein intruding muscovite-rich schist</t>
  </si>
  <si>
    <t>CG87-406.2.jpg</t>
  </si>
  <si>
    <t>Muscovite-rich schist</t>
  </si>
  <si>
    <t>CG87-406.1.jpg</t>
  </si>
  <si>
    <t>CG87-409</t>
  </si>
  <si>
    <t>CG87-409.jpg</t>
  </si>
  <si>
    <t>Well-banded metasedimentary(?) gneiss with hornblende porphyroblasts</t>
  </si>
  <si>
    <t>CG87-411</t>
  </si>
  <si>
    <t>CG87-411.jpg</t>
  </si>
  <si>
    <t>Well-banded (straight) orthogneiss</t>
  </si>
  <si>
    <t>CG04-217</t>
  </si>
  <si>
    <t>CG04-217.2.jpg</t>
  </si>
  <si>
    <t>Right-side-up / left-side-down marginal to pegmatite</t>
  </si>
  <si>
    <t>CG86-503</t>
  </si>
  <si>
    <t>CG86-503.1.jpg</t>
  </si>
  <si>
    <t>86-06</t>
  </si>
  <si>
    <t>Retrograded cordierite surrounded by leucosome in unmelted paleosome</t>
  </si>
  <si>
    <t>CG86-504</t>
  </si>
  <si>
    <t>CG86-504.1.jpg</t>
  </si>
  <si>
    <t>Banded amphibolitic gneiss</t>
  </si>
  <si>
    <t>CG86-505</t>
  </si>
  <si>
    <t>CG86-505.jpg</t>
  </si>
  <si>
    <t>Mafic dyke in metasedimentary gneiss</t>
  </si>
  <si>
    <t>CG86-510</t>
  </si>
  <si>
    <t>CG86-510.jpg</t>
  </si>
  <si>
    <t>Banded schlieric metasedimentary gneiss</t>
  </si>
  <si>
    <t>CG86-512</t>
  </si>
  <si>
    <t>CG86-512.jpg</t>
  </si>
  <si>
    <t>Biotite tonalite/granodiorite orthogneiss</t>
  </si>
  <si>
    <t>VN92-199</t>
  </si>
  <si>
    <t>VN92-199.jpg</t>
  </si>
  <si>
    <t>Massive to weakly foliated Upper St. Lewis (west) granite</t>
  </si>
  <si>
    <t>RG80-053</t>
  </si>
  <si>
    <t>RG80-053.jpg</t>
  </si>
  <si>
    <t>Agmatized metagabbro</t>
  </si>
  <si>
    <t>RG80-104</t>
  </si>
  <si>
    <t>RG80-104.3.jpg</t>
  </si>
  <si>
    <t>80-19</t>
  </si>
  <si>
    <t>JUL 80T4</t>
  </si>
  <si>
    <t>Marble showing fissile fracturing</t>
  </si>
  <si>
    <t>VN92-236</t>
  </si>
  <si>
    <t>VN92-236.jpg</t>
  </si>
  <si>
    <t>Massive, unrecrystallized Upper St. Paul river (east) monzonite</t>
  </si>
  <si>
    <t>CG07-171</t>
  </si>
  <si>
    <t>CG07-171.1.jpg</t>
  </si>
  <si>
    <t>Islands off southeast side of Battle Island</t>
  </si>
  <si>
    <t>CG07-171.2.jpg</t>
  </si>
  <si>
    <t>CG07-172</t>
  </si>
  <si>
    <t>CG07-172.1.jpg</t>
  </si>
  <si>
    <t>Calc-silicate rocks and pegmatite</t>
  </si>
  <si>
    <t>CG07-172.2.jpg</t>
  </si>
  <si>
    <t>Calc-silicate rocks, psammite and pegmatite</t>
  </si>
  <si>
    <t>CG87-459</t>
  </si>
  <si>
    <t>CG87-459.1.jpg</t>
  </si>
  <si>
    <t>87-06</t>
  </si>
  <si>
    <t>Complementary late faults</t>
  </si>
  <si>
    <t>CG87-459.2.jpg</t>
  </si>
  <si>
    <t>Well-banded gneiss with zones of framboid metamorphic hornblende</t>
  </si>
  <si>
    <t>CG87-461</t>
  </si>
  <si>
    <t>CG87-461.3.jpg</t>
  </si>
  <si>
    <t>Mafic dyke in Wolf Cove granite; geochron. sample site</t>
  </si>
  <si>
    <t>CG87-461.1.jpg</t>
  </si>
  <si>
    <t>Foliated Wolf Cove granite; geochron. sample site</t>
  </si>
  <si>
    <t>VN84-036</t>
  </si>
  <si>
    <t>VN84-036.jpg</t>
  </si>
  <si>
    <t>84-15</t>
  </si>
  <si>
    <t>Sillimanite metasedimentary gneiss</t>
  </si>
  <si>
    <t>VN84-043</t>
  </si>
  <si>
    <t>VN84-043.jpg</t>
  </si>
  <si>
    <t>Buckled pegmatite veins in metasedimentary gneiss</t>
  </si>
  <si>
    <t>VN84-048</t>
  </si>
  <si>
    <t>VN84-048.jpg</t>
  </si>
  <si>
    <t>VN84-053</t>
  </si>
  <si>
    <t>VN84-053.2.jpg</t>
  </si>
  <si>
    <t>Ptygmatic folds in mylonite</t>
  </si>
  <si>
    <t>CG80-155</t>
  </si>
  <si>
    <t>CG80-155.1.jpg</t>
  </si>
  <si>
    <t>Refolded fold in metasedimentary(?) and granitoid gneiss</t>
  </si>
  <si>
    <t>CG93-460</t>
  </si>
  <si>
    <t>CG93-460.jpg</t>
  </si>
  <si>
    <t>Recrystallized leucogranite</t>
  </si>
  <si>
    <t>RG80-077</t>
  </si>
  <si>
    <t>RG80-077.jpg</t>
  </si>
  <si>
    <t>Minor folding in tonalite to granodiorite gneiss</t>
  </si>
  <si>
    <t>XX87-043</t>
  </si>
  <si>
    <t>XX87-043.jpg</t>
  </si>
  <si>
    <t>87-20</t>
  </si>
  <si>
    <t>Amphibolite and plagioclase-phyric amphibolite</t>
  </si>
  <si>
    <t>CG83-328.5.jpg</t>
  </si>
  <si>
    <t>CG83-345.1.jpg</t>
  </si>
  <si>
    <t>CG83-345.2.jpg</t>
  </si>
  <si>
    <t>CG83-345.4.jpg</t>
  </si>
  <si>
    <t>VN92-133</t>
  </si>
  <si>
    <t>VN92-133.jpg</t>
  </si>
  <si>
    <t>CG87-431.3.jpg</t>
  </si>
  <si>
    <t>RG80-059</t>
  </si>
  <si>
    <t>RG80-059.jpg</t>
  </si>
  <si>
    <t>DL93-051</t>
  </si>
  <si>
    <t>DL93-051.jpg</t>
  </si>
  <si>
    <t>Foliated to gneissic monzonite/granite (dark)</t>
  </si>
  <si>
    <t>DL93-056</t>
  </si>
  <si>
    <t>DL93-056.jpg</t>
  </si>
  <si>
    <t>Foliated monzonite</t>
  </si>
  <si>
    <t>MC77-072.2.jpg</t>
  </si>
  <si>
    <t>Amphibolitic migmatite</t>
  </si>
  <si>
    <t>MC77-075</t>
  </si>
  <si>
    <t>MC77-075.jpg</t>
  </si>
  <si>
    <t>Well-banded (metasedimentary?) gneiss</t>
  </si>
  <si>
    <t>MC77-076</t>
  </si>
  <si>
    <t>MC77-076.1.jpg</t>
  </si>
  <si>
    <t>Back veining in granodiorite gneiss (Mafic dyke injection to wet sediments? - CFG)</t>
  </si>
  <si>
    <t>MC77-076.2.jpg</t>
  </si>
  <si>
    <t>MC77-076.3.jpg</t>
  </si>
  <si>
    <t>MC77-076.4.jpg</t>
  </si>
  <si>
    <t>MC77-076.5.jpg</t>
  </si>
  <si>
    <t>DL93-348</t>
  </si>
  <si>
    <t>DL93-348.jpg</t>
  </si>
  <si>
    <t>Medium-grained rock of supracrustal or granitic origin</t>
  </si>
  <si>
    <t>DL93-352</t>
  </si>
  <si>
    <t>DL93-352.jpg</t>
  </si>
  <si>
    <t>Mesocratic siliceous and garnetiferous rock of probable supracrustal origin</t>
  </si>
  <si>
    <t>AD79-009.2.jpg</t>
  </si>
  <si>
    <t>Polylithologic volcanic breccia or conglomerate</t>
  </si>
  <si>
    <t>AD79-009.3.jpg</t>
  </si>
  <si>
    <t>AD79-009.1.jpg</t>
  </si>
  <si>
    <t>Dyke swarm on east side Dunn Island</t>
  </si>
  <si>
    <t>AD79-010</t>
  </si>
  <si>
    <t>AD79-010.1.jpg</t>
  </si>
  <si>
    <t>Manak Bay Formation rafts in gabbro dyke swarm</t>
  </si>
  <si>
    <t>AD79-010.2.jpg</t>
  </si>
  <si>
    <t>AD79-011</t>
  </si>
  <si>
    <t>AD79-011.1.jpg</t>
  </si>
  <si>
    <t>Manak Bay Formation sediments and volcanic rocks</t>
  </si>
  <si>
    <t>AD79-011.3.jpg</t>
  </si>
  <si>
    <t>Sediments intruded by gabbro and aplite</t>
  </si>
  <si>
    <t>AD79-011.4.jpg</t>
  </si>
  <si>
    <t>Net-veined gabbro</t>
  </si>
  <si>
    <t>AD79-012</t>
  </si>
  <si>
    <t>AD79-012.jpg</t>
  </si>
  <si>
    <t>Possible xenolith of metasediments, or banded aplite, in gabbro</t>
  </si>
  <si>
    <t>AD79-014</t>
  </si>
  <si>
    <t>AD79-014.3.jpg</t>
  </si>
  <si>
    <t>Chilled margin of mafic dyke in granite</t>
  </si>
  <si>
    <t>AD79-014.1.jpg</t>
  </si>
  <si>
    <t>Xenoliths of mafic dyke rock in granite aplite zone in granite adjacent to contact</t>
  </si>
  <si>
    <t>AD79-014.2.jpg</t>
  </si>
  <si>
    <t>Small mafic dyke in granite</t>
  </si>
  <si>
    <t>AD79-015</t>
  </si>
  <si>
    <t>AD79-015.jpg</t>
  </si>
  <si>
    <t>Granite with darker, more melanocratic granodioritic phase</t>
  </si>
  <si>
    <t>AD79-019</t>
  </si>
  <si>
    <t>AD79-019.1.jpg</t>
  </si>
  <si>
    <t>Sheared K-feldspar megacrystic granite</t>
  </si>
  <si>
    <t>AD79-019.2.jpg</t>
  </si>
  <si>
    <t>AD79-019.3.jpg</t>
  </si>
  <si>
    <t>Sheared xenolith in coarse-grained K-feldspar megacrystic granite</t>
  </si>
  <si>
    <t>AD79-024.5.jpg</t>
  </si>
  <si>
    <t>Granite intruded by two phases of mafic dykes</t>
  </si>
  <si>
    <t>CG03-029</t>
  </si>
  <si>
    <t>CG03-029.2.jpg</t>
  </si>
  <si>
    <t>Nepheline (white) in nepheline syenite</t>
  </si>
  <si>
    <t>CG03-073</t>
  </si>
  <si>
    <t>CG03-073.jpg</t>
  </si>
  <si>
    <t>Chateau Pond granite alteration marginal to fracture</t>
  </si>
  <si>
    <t>CG87-296</t>
  </si>
  <si>
    <t>CG87-296.jpg</t>
  </si>
  <si>
    <t>Foliated granitoid rock</t>
  </si>
  <si>
    <t>CG11-001.1</t>
  </si>
  <si>
    <t>CG11-001.1.jpg</t>
  </si>
  <si>
    <t>Gilbert Bay dyke, amygdaloidal</t>
  </si>
  <si>
    <t>CG11-001.2</t>
  </si>
  <si>
    <t>CG11-001.2.jpg</t>
  </si>
  <si>
    <t>CG11-001.3</t>
  </si>
  <si>
    <t>CG11-001.3.jpg</t>
  </si>
  <si>
    <t>CG11-001.4</t>
  </si>
  <si>
    <t>CG11-001.4.jpg</t>
  </si>
  <si>
    <t>Gilbert Bay dyke, with enclave</t>
  </si>
  <si>
    <t>CG11-001.5</t>
  </si>
  <si>
    <t>CG11-001.5.jpg</t>
  </si>
  <si>
    <t>CG11-001.6</t>
  </si>
  <si>
    <t>CG11-001.6.jpg</t>
  </si>
  <si>
    <t>CG86-018.15.jpg</t>
  </si>
  <si>
    <t>Relict layering in Alexis River anorthosite</t>
  </si>
  <si>
    <t>CG86-018.16.jpg</t>
  </si>
  <si>
    <t>Garnet and relict plagioclase in Alexis River anorthosite</t>
  </si>
  <si>
    <t>CG86-018.13.jpg</t>
  </si>
  <si>
    <t>Relict orthopyroxene in Alexis River anorthosite</t>
  </si>
  <si>
    <t>CG86-114.3.jpg</t>
  </si>
  <si>
    <t>JS86-201</t>
  </si>
  <si>
    <t>JS86-201.jpg</t>
  </si>
  <si>
    <t>JS86-208</t>
  </si>
  <si>
    <t>JS86-208.jpg</t>
  </si>
  <si>
    <t>Granite intruding deformed K-feldspar megacrystic granodiorite (looks like shear zone - CFG)</t>
  </si>
  <si>
    <t>JS86-217</t>
  </si>
  <si>
    <t>JS86-217.jpg</t>
  </si>
  <si>
    <t>CG80-060</t>
  </si>
  <si>
    <t>CG80-060.jpg</t>
  </si>
  <si>
    <t>Quartz diorite to granodiorite</t>
  </si>
  <si>
    <t>CG80-061</t>
  </si>
  <si>
    <t>CG80-061.jpg</t>
  </si>
  <si>
    <t>Mylonitic biotite tonalite</t>
  </si>
  <si>
    <t>CG80-102</t>
  </si>
  <si>
    <t>CG80-102.07.jpg</t>
  </si>
  <si>
    <t>MT digging drainage trench around tent during rain storm 2</t>
  </si>
  <si>
    <t>CG04-286</t>
  </si>
  <si>
    <t>CG04-286.20.jpg</t>
  </si>
  <si>
    <t>JUL 85T5</t>
  </si>
  <si>
    <t>Paradise River (1985)</t>
  </si>
  <si>
    <t>CG87-488.07.jpg</t>
  </si>
  <si>
    <t>Folded calc-silicate metasedimentary gneiss</t>
  </si>
  <si>
    <t>CG86-199</t>
  </si>
  <si>
    <t>CG86-199.2.jpg</t>
  </si>
  <si>
    <t>K-feldspar megacrystic granodiorite (mylonitic)  with rotated porphyroclasts</t>
  </si>
  <si>
    <t>CG86-217</t>
  </si>
  <si>
    <t>CG86-217.jpg</t>
  </si>
  <si>
    <t>Dextrally rotated K-feldspar porphyroblast</t>
  </si>
  <si>
    <t>VN92-070</t>
  </si>
  <si>
    <t>VN92-070.1.jpg</t>
  </si>
  <si>
    <t>Strongly foliated granite</t>
  </si>
  <si>
    <t>VN92-070.2.jpg</t>
  </si>
  <si>
    <t>Amphibolite enclaves in foliated granite</t>
  </si>
  <si>
    <t>VN92-070.4.jpg</t>
  </si>
  <si>
    <t>Amphibolite dykes  in foliated granite</t>
  </si>
  <si>
    <t>CG79-797</t>
  </si>
  <si>
    <t>CG79-797.4.jpg</t>
  </si>
  <si>
    <t>Bedding in metagreywacke/siltstone</t>
  </si>
  <si>
    <t>VO81-147</t>
  </si>
  <si>
    <t>VO81-147.2.jpg</t>
  </si>
  <si>
    <t>81-13</t>
  </si>
  <si>
    <t>Agmatitic gneiss with rafts of microgranite</t>
  </si>
  <si>
    <t>SN86-345</t>
  </si>
  <si>
    <t>SN86-345.4.jpg</t>
  </si>
  <si>
    <t>86-22</t>
  </si>
  <si>
    <t>SEP 86T9</t>
  </si>
  <si>
    <t>VN84-520</t>
  </si>
  <si>
    <t>VN84-520.1.jpg</t>
  </si>
  <si>
    <t>Strongly foliated biotite granodiorite/tonalite gneiss; intruded by pegmatite</t>
  </si>
  <si>
    <t>VN84-520.2.jpg</t>
  </si>
  <si>
    <t>Strongly foliated biotite granodiorite/tonalite gneiss; locally megacrystic</t>
  </si>
  <si>
    <t>VN84-543</t>
  </si>
  <si>
    <t>VN84-543.jpg</t>
  </si>
  <si>
    <t>Small scale shear zone in strongly foliated biotite granodiorite/tonalite gneiss</t>
  </si>
  <si>
    <t>VN85-379</t>
  </si>
  <si>
    <t>VN85-379.jpg</t>
  </si>
  <si>
    <t>85-18</t>
  </si>
  <si>
    <t>VN92-045</t>
  </si>
  <si>
    <t>VN92-045.1.jpg</t>
  </si>
  <si>
    <t>Amphibolite veins in anorthosite</t>
  </si>
  <si>
    <t>VN92-047</t>
  </si>
  <si>
    <t>VN92-047.2.jpg</t>
  </si>
  <si>
    <t>Texture of K-feldspar megacrystic granite</t>
  </si>
  <si>
    <t>VN92-047.1.jpg</t>
  </si>
  <si>
    <t>Granite vein intruding K-feldspar megacrystic granite</t>
  </si>
  <si>
    <t>VN92-052</t>
  </si>
  <si>
    <t>VN92-052.jpg</t>
  </si>
  <si>
    <t>Texture of anorthosite</t>
  </si>
  <si>
    <t>VN92-053</t>
  </si>
  <si>
    <t>VN92-053.jpg</t>
  </si>
  <si>
    <t>CG87-150</t>
  </si>
  <si>
    <t>CG87-150.1.jpg</t>
  </si>
  <si>
    <t>Dextrally rotated K-feldspar megacryst</t>
  </si>
  <si>
    <t>CG87-164</t>
  </si>
  <si>
    <t>CG87-164.5.jpg</t>
  </si>
  <si>
    <t>MA and TvN</t>
  </si>
  <si>
    <t>CG87-164.1.jpg</t>
  </si>
  <si>
    <t>Contact between osumilite-bearing metasedimentary gneiss and Sand Hill Big Pond gabbronorite</t>
  </si>
  <si>
    <t>CG87-164.3.jpg</t>
  </si>
  <si>
    <t>CG87-164.2.jpg</t>
  </si>
  <si>
    <t>VN91-301.2.jpg</t>
  </si>
  <si>
    <t>SN86-409</t>
  </si>
  <si>
    <t>SN86-409.3.jpg</t>
  </si>
  <si>
    <t>86-24</t>
  </si>
  <si>
    <t>SEP 86</t>
  </si>
  <si>
    <t>SN86-409.1.jpg</t>
  </si>
  <si>
    <t>SN86-409.2.jpg</t>
  </si>
  <si>
    <t>CG93-206.1.jpg</t>
  </si>
  <si>
    <t>NN80-058</t>
  </si>
  <si>
    <t>NN80-058.2.jpg</t>
  </si>
  <si>
    <t>NN80-058.3.jpg</t>
  </si>
  <si>
    <t>VN87-338</t>
  </si>
  <si>
    <t>VN87-338.2.jpg</t>
  </si>
  <si>
    <t>Amphibolite apophyses intruding melanocratic megacrystic granodiorite</t>
  </si>
  <si>
    <t>VN87-340</t>
  </si>
  <si>
    <t>VN87-340.jpg</t>
  </si>
  <si>
    <t>Fine-grained amphibolite dyke truncated by gneissic amphibolite dyke</t>
  </si>
  <si>
    <t>VN87-342</t>
  </si>
  <si>
    <t>VN87-342.jpg</t>
  </si>
  <si>
    <t>Folded banding in quartz-plagioclase hornblende rock of possible supracrustal origin</t>
  </si>
  <si>
    <t>VN87-346</t>
  </si>
  <si>
    <t>VN87-346.jpg</t>
  </si>
  <si>
    <t>Contact of foliated granite and well-banded muscovite-bearing metasediment</t>
  </si>
  <si>
    <t>VN87-355</t>
  </si>
  <si>
    <t>VN87-355.jpg</t>
  </si>
  <si>
    <t>Well-banded hornblende-bearing dioritic gneiss</t>
  </si>
  <si>
    <t>VN91-325</t>
  </si>
  <si>
    <t>VN91-325.jpg</t>
  </si>
  <si>
    <t>Strongly foliated K-feldspar megacrystic granodiorite/granite</t>
  </si>
  <si>
    <t>VN91-329</t>
  </si>
  <si>
    <t>VN91-329.jpg</t>
  </si>
  <si>
    <t>Migmatitic metasedimentary gneiss</t>
  </si>
  <si>
    <t>VN91-330.2.jpg</t>
  </si>
  <si>
    <t>Rotated K-feldspar in granite</t>
  </si>
  <si>
    <t>RG80-018</t>
  </si>
  <si>
    <t>RG80-018.jpg</t>
  </si>
  <si>
    <t>K-feldspar megacrystic granodiorite with later pegmatite-filled shear zone</t>
  </si>
  <si>
    <t>MC77-135</t>
  </si>
  <si>
    <t>MC77-135.jpg</t>
  </si>
  <si>
    <t>Amphibolitic granitic gneiss</t>
  </si>
  <si>
    <t>CG93-020</t>
  </si>
  <si>
    <t>CG93-020.jpg</t>
  </si>
  <si>
    <t>Layering in Red Bay mafic intrusion</t>
  </si>
  <si>
    <t>CG93-023</t>
  </si>
  <si>
    <t>CG93-023.1.jpg</t>
  </si>
  <si>
    <t>Reverse fault and shear sense in granitoid rocks</t>
  </si>
  <si>
    <t>CG93-023.2.jpg</t>
  </si>
  <si>
    <t>Contact between two similar granites</t>
  </si>
  <si>
    <t>CG93-023.3.jpg</t>
  </si>
  <si>
    <t>Foliation transgressing contact between two granites</t>
  </si>
  <si>
    <t>CG93-026</t>
  </si>
  <si>
    <t>CG93-026.1.jpg</t>
  </si>
  <si>
    <t>SN86-377</t>
  </si>
  <si>
    <t>SN86-377.2.jpg</t>
  </si>
  <si>
    <t>86-23</t>
  </si>
  <si>
    <t>Leucosome in amphibolite</t>
  </si>
  <si>
    <t>SN86-379</t>
  </si>
  <si>
    <t>SN86-379.jpg</t>
  </si>
  <si>
    <t>SN86-381</t>
  </si>
  <si>
    <t>SN86-381.1.jpg</t>
  </si>
  <si>
    <t>VN87-412</t>
  </si>
  <si>
    <t>VN87-412.1.jpg</t>
  </si>
  <si>
    <t>Well-banded and folded quartz diorite</t>
  </si>
  <si>
    <t>VN87-412.2.jpg</t>
  </si>
  <si>
    <t>Folded amphibolite dyke in hornblende biotite quartz diorite</t>
  </si>
  <si>
    <t>VN87-430</t>
  </si>
  <si>
    <t>VN87-430.jpg</t>
  </si>
  <si>
    <t>Homogeneous granite</t>
  </si>
  <si>
    <t>DL93-339</t>
  </si>
  <si>
    <t>DL93-339.jpg</t>
  </si>
  <si>
    <t>Fine-grained rock of felsic volcanic or granitic origin</t>
  </si>
  <si>
    <t>CG87-423</t>
  </si>
  <si>
    <t>CG87-423.jpg</t>
  </si>
  <si>
    <t>CG87-425</t>
  </si>
  <si>
    <t>CG87-425.2.jpg</t>
  </si>
  <si>
    <t>Fog in St. Peter's Bay 2</t>
  </si>
  <si>
    <t>CG87-425.3.jpg</t>
  </si>
  <si>
    <t>Fog in St. Peter's Bay 3</t>
  </si>
  <si>
    <t>AL78-269</t>
  </si>
  <si>
    <t>AL78-269.jpg</t>
  </si>
  <si>
    <t>78-04</t>
  </si>
  <si>
    <t>AUG 78T6</t>
  </si>
  <si>
    <t>Mafic xenolith in syenite</t>
  </si>
  <si>
    <t>CG79-038.4.jpg</t>
  </si>
  <si>
    <t>CG79-038.3.jpg</t>
  </si>
  <si>
    <t>Igneous layering in granite</t>
  </si>
  <si>
    <t>CG79-048</t>
  </si>
  <si>
    <t>CG79-048.2.jpg</t>
  </si>
  <si>
    <t>RB</t>
  </si>
  <si>
    <t>MC77-080</t>
  </si>
  <si>
    <t>MC77-080.1.jpg</t>
  </si>
  <si>
    <t>Amphibolitic (supracrustal) gneiss</t>
  </si>
  <si>
    <t>MC77-081</t>
  </si>
  <si>
    <t>MC77-081.3.jpg</t>
  </si>
  <si>
    <t>VN85-581</t>
  </si>
  <si>
    <t>VN85-581.1.jpg</t>
  </si>
  <si>
    <t>Contact between abundantly and sparsely K-feldspar megacrystic granodiorites</t>
  </si>
  <si>
    <t>VN85-587</t>
  </si>
  <si>
    <t>VN85-587.jpg</t>
  </si>
  <si>
    <t>Rotated K-feldspar megacrysts in K-feldspar megacrystic granodiorite</t>
  </si>
  <si>
    <t>VN85-604</t>
  </si>
  <si>
    <t>VN85-604.1.jpg</t>
  </si>
  <si>
    <t>Strongly deformed megacrystic granodiorite with flattened veinlets</t>
  </si>
  <si>
    <t>SN86-223</t>
  </si>
  <si>
    <t>SN86-223.1.jpg</t>
  </si>
  <si>
    <t>86-19</t>
  </si>
  <si>
    <t>Strongly deformed K-feldspar megacrystic granite intruded by pegmatite vein along sinistral fault</t>
  </si>
  <si>
    <t>SN86-223.2.jpg</t>
  </si>
  <si>
    <t>NN84-389</t>
  </si>
  <si>
    <t>NN84-389.jpg</t>
  </si>
  <si>
    <t>84-13</t>
  </si>
  <si>
    <t>SEP 84T10</t>
  </si>
  <si>
    <t>Migmatitic tonalite/granodiorite and amphibolite</t>
  </si>
  <si>
    <t>RG80-014</t>
  </si>
  <si>
    <t>RG80-014.jpg</t>
  </si>
  <si>
    <t>RG80-015.3.jpg</t>
  </si>
  <si>
    <t>Mylonitized K-feldspar megacrystic granodiorite showing dextrally rotated porphyroclast</t>
  </si>
  <si>
    <t>JS86-366</t>
  </si>
  <si>
    <t>JS86-366.jpg</t>
  </si>
  <si>
    <t>CG80-056</t>
  </si>
  <si>
    <t>CG80-056.jpg</t>
  </si>
  <si>
    <t>Interlayered tonalitic/granodioritic gneiss and metagabbro</t>
  </si>
  <si>
    <t>CG80-280</t>
  </si>
  <si>
    <t>CG80-280.jpg</t>
  </si>
  <si>
    <t>Grey granodiorite, pegmatite and mafic dyke</t>
  </si>
  <si>
    <t>AD79-024.3.jpg</t>
  </si>
  <si>
    <t>Granite-gabbro contact</t>
  </si>
  <si>
    <t>AD79-051</t>
  </si>
  <si>
    <t>AD79-051.1.jpg</t>
  </si>
  <si>
    <t>Probable Aillik Group sediment or fine-grained tuff</t>
  </si>
  <si>
    <t>DD91-006</t>
  </si>
  <si>
    <t>DD91-006.3.jpg</t>
  </si>
  <si>
    <t>91-02</t>
  </si>
  <si>
    <t>VN87-041</t>
  </si>
  <si>
    <t>VN87-041.jpg</t>
  </si>
  <si>
    <t>Amphibolite lenses rimmed by recrystallized garnet coronas in biotite sillimanite metasedimentary gneiss</t>
  </si>
  <si>
    <t>VN87-046</t>
  </si>
  <si>
    <t>VN87-046.jpg</t>
  </si>
  <si>
    <t>Strong mineral rodding in biotite magnetite granite</t>
  </si>
  <si>
    <t>VN87-065</t>
  </si>
  <si>
    <t>VN87-065.jpg</t>
  </si>
  <si>
    <t>Granodiorite gneiss intercalated with amphibolitic layers</t>
  </si>
  <si>
    <t>VO81-102</t>
  </si>
  <si>
    <t>VO81-102.jpg</t>
  </si>
  <si>
    <t>Migmatitic biotite granodiorite intruded by medium-grained amphibolite, then possibly fine-grained amphibolite</t>
  </si>
  <si>
    <t>VO81-122</t>
  </si>
  <si>
    <t>VO81-122.jpg</t>
  </si>
  <si>
    <t>Banded dioritic gneiss</t>
  </si>
  <si>
    <t>VO81-123</t>
  </si>
  <si>
    <t>VO81-123.1.jpg</t>
  </si>
  <si>
    <t>Incongruent melting to give garnet and melt</t>
  </si>
  <si>
    <t>VO81-123.2.jpg</t>
  </si>
  <si>
    <t>CG07-187</t>
  </si>
  <si>
    <t>CG07-187.2.jpg</t>
  </si>
  <si>
    <t>Buckled pegmatite veins in psammite</t>
  </si>
  <si>
    <t>CG07-006</t>
  </si>
  <si>
    <t>CG07-006.jpg</t>
  </si>
  <si>
    <t>Granite showing orange weathering along joint surfaces due to Fe-sulphide breakdown</t>
  </si>
  <si>
    <t>CG07-143</t>
  </si>
  <si>
    <t>CG07-143.2.jpg</t>
  </si>
  <si>
    <t>Great Caribou Island from Battle Island; Acreman's House in right foreground</t>
  </si>
  <si>
    <t>CG80-041</t>
  </si>
  <si>
    <t>CG80-041.jpg</t>
  </si>
  <si>
    <t>Granodiorite with leucocratic segregations</t>
  </si>
  <si>
    <t>CG80-042</t>
  </si>
  <si>
    <t>CG80-042.jpg</t>
  </si>
  <si>
    <t>Tonalitic/granodioritic gneiss</t>
  </si>
  <si>
    <t>CG80-043</t>
  </si>
  <si>
    <t>CG80-043.jpg</t>
  </si>
  <si>
    <t>Tonalitic/granodioritic gneiss with leucosome</t>
  </si>
  <si>
    <t>CG80-047</t>
  </si>
  <si>
    <t>CG80-047.1.jpg</t>
  </si>
  <si>
    <t>Pegmatite intruding gabbro</t>
  </si>
  <si>
    <t>CG80-047.2.jpg</t>
  </si>
  <si>
    <t>CG80-050</t>
  </si>
  <si>
    <t>CG80-050.2.jpg</t>
  </si>
  <si>
    <t>Pegmatite intruding metagabbro then faulted</t>
  </si>
  <si>
    <t>VN87-032</t>
  </si>
  <si>
    <t>VN87-032.jpg</t>
  </si>
  <si>
    <t>Megacrystic granite enclave in fine-grained granodiorite</t>
  </si>
  <si>
    <t>CG80-102.08.jpg</t>
  </si>
  <si>
    <t>Field Crew, G kids, KM and DA in Rigolet 1</t>
  </si>
  <si>
    <t>CG81-385</t>
  </si>
  <si>
    <t>CG81-385.jpg</t>
  </si>
  <si>
    <t>Garnet biotite hornblende tonalite/granodiorite gneiss</t>
  </si>
  <si>
    <t>CG81-388</t>
  </si>
  <si>
    <t>CG81-388.jpg</t>
  </si>
  <si>
    <t>Deformed mafic dyke intruding gneiss</t>
  </si>
  <si>
    <t>DD91-004</t>
  </si>
  <si>
    <t>DD91-004.6.jpg</t>
  </si>
  <si>
    <t>Metasedimentary gneiss, mylonitic</t>
  </si>
  <si>
    <t>CG07-138</t>
  </si>
  <si>
    <t>CG07-138.1.jpg</t>
  </si>
  <si>
    <t>CG07-138.2.jpg</t>
  </si>
  <si>
    <t>CG07-138.3.jpg</t>
  </si>
  <si>
    <t>Metallic mineral in pegmatite</t>
  </si>
  <si>
    <t>CG03-016</t>
  </si>
  <si>
    <t>CG03-016.jpg</t>
  </si>
  <si>
    <t>Granodiorite gneiss, well-banded</t>
  </si>
  <si>
    <t>CG03-097</t>
  </si>
  <si>
    <t>CG03-097.2.jpg</t>
  </si>
  <si>
    <t>Calc-silicate rocks</t>
  </si>
  <si>
    <t>CG03-146.2.jpg</t>
  </si>
  <si>
    <t>Granodiorite gneiss, mylonitic</t>
  </si>
  <si>
    <t>CG00-043</t>
  </si>
  <si>
    <t>CG00-043.3.jpg</t>
  </si>
  <si>
    <t>00-03</t>
  </si>
  <si>
    <t>Camp site bear damage 2; location 1km N. of CG00-043</t>
  </si>
  <si>
    <t>CG85-479</t>
  </si>
  <si>
    <t>CG85-479.2.jpg</t>
  </si>
  <si>
    <t>CG85-479.1.jpg</t>
  </si>
  <si>
    <t>Metasedimentary gneiss with north-verging folds</t>
  </si>
  <si>
    <t>CG85-481</t>
  </si>
  <si>
    <t>CG85-481.1.jpg</t>
  </si>
  <si>
    <t>Metasedimentary gneiss with garnet</t>
  </si>
  <si>
    <t>CG79-074.1.jpg</t>
  </si>
  <si>
    <t>Hornblende granite with mafic enclaves</t>
  </si>
  <si>
    <t>CG93-054</t>
  </si>
  <si>
    <t>CG93-054.jpg</t>
  </si>
  <si>
    <t>Mafic dyke intruding gneissic granite</t>
  </si>
  <si>
    <t>CG93-059</t>
  </si>
  <si>
    <t>CG93-059.jpg</t>
  </si>
  <si>
    <t>Contact between Lower Pinware River alkali-feldspar syenite and foliated granite</t>
  </si>
  <si>
    <t>CG93-064</t>
  </si>
  <si>
    <t>CG93-064.2.jpg</t>
  </si>
  <si>
    <t>Boudinaged amphibolite in layered anorthositic intrusion</t>
  </si>
  <si>
    <t>CG93-453</t>
  </si>
  <si>
    <t>CG93-453.3.jpg</t>
  </si>
  <si>
    <t>Overturned tight folds</t>
  </si>
  <si>
    <t>CG93-453.4.jpg</t>
  </si>
  <si>
    <t>CG93-453.1.jpg</t>
  </si>
  <si>
    <t>Fragmental texture in amphibolite</t>
  </si>
  <si>
    <t>CG93-076</t>
  </si>
  <si>
    <t>CG93-076.jpg</t>
  </si>
  <si>
    <t>Granitic gneiss with amphibolite</t>
  </si>
  <si>
    <t>CG93-077.1.jpg</t>
  </si>
  <si>
    <t>Mafic dyke intruding quartzofeldspathic gneiss</t>
  </si>
  <si>
    <t>CG79-274</t>
  </si>
  <si>
    <t>CG79-274.jpg</t>
  </si>
  <si>
    <t>Gneissic contact between two granitic types</t>
  </si>
  <si>
    <t>VO81-147.3.jpg</t>
  </si>
  <si>
    <t>Foliated microgranite intruded into gneiss</t>
  </si>
  <si>
    <t>CG93-064.1.jpg</t>
  </si>
  <si>
    <t>Lower Pinware River</t>
  </si>
  <si>
    <t>CG93-065</t>
  </si>
  <si>
    <t>CG93-065.jpg</t>
  </si>
  <si>
    <t>Gneissic layered mafic intrusion</t>
  </si>
  <si>
    <t>CG81-148</t>
  </si>
  <si>
    <t>CG81-148.4.jpg</t>
  </si>
  <si>
    <t>CG81-148.5.jpg</t>
  </si>
  <si>
    <t>CG81-149</t>
  </si>
  <si>
    <t>CG81-149.1.jpg</t>
  </si>
  <si>
    <t>CG81-149.2.jpg</t>
  </si>
  <si>
    <t>AD79-003</t>
  </si>
  <si>
    <t>AD79-003.2.jpg</t>
  </si>
  <si>
    <t>Stretched clast in felsic tuff</t>
  </si>
  <si>
    <t>CG80-271</t>
  </si>
  <si>
    <t>CG80-271.jpg</t>
  </si>
  <si>
    <t>Weathered gneiss and Lester Green</t>
  </si>
  <si>
    <t>CG80-275</t>
  </si>
  <si>
    <t>CG80-275.jpg</t>
  </si>
  <si>
    <t>Granodiorite</t>
  </si>
  <si>
    <t>CG80-278</t>
  </si>
  <si>
    <t>CG80-278.2.jpg</t>
  </si>
  <si>
    <t>Mylonitic tonalite to granodiorite gneiss</t>
  </si>
  <si>
    <t>CG80-278.1.jpg</t>
  </si>
  <si>
    <t>Tonalitic to granodioritic gneiss</t>
  </si>
  <si>
    <t>MN86-064</t>
  </si>
  <si>
    <t>MN86-064.jpg</t>
  </si>
  <si>
    <t>Mafic dyke discordant to foliation in Alexis River anorthosite; discordant intrusion by pegmatite</t>
  </si>
  <si>
    <t>MN86-070</t>
  </si>
  <si>
    <t>MN86-070.jpg</t>
  </si>
  <si>
    <t>Coronitic olivine gabbro in White Bear Arm complex</t>
  </si>
  <si>
    <t>MN86-076</t>
  </si>
  <si>
    <t>MN86-076.jpg</t>
  </si>
  <si>
    <t>MN86-078</t>
  </si>
  <si>
    <t>MN86-078.jpg</t>
  </si>
  <si>
    <t>Megacrystic monzonite</t>
  </si>
  <si>
    <t>MN86-089</t>
  </si>
  <si>
    <t>MN86-089.2.jpg</t>
  </si>
  <si>
    <t>North-northeast-trending metamorphosed mafic dykes in White Bear Arm complex</t>
  </si>
  <si>
    <t>MN86-089.1.jpg</t>
  </si>
  <si>
    <t>MN86-100</t>
  </si>
  <si>
    <t>MN86-100.jpg</t>
  </si>
  <si>
    <t>Granitic layer in metasedimentary gneiss</t>
  </si>
  <si>
    <t>MN86-113</t>
  </si>
  <si>
    <t>MN86-113.jpg</t>
  </si>
  <si>
    <t>Cordierite- and sillimanite-bearing metasedimentary gneiss</t>
  </si>
  <si>
    <t>MN86-123</t>
  </si>
  <si>
    <t>MN86-123.jpg</t>
  </si>
  <si>
    <t>K-feldspar megacrysts in garnet amphibolite</t>
  </si>
  <si>
    <t>MN86-125</t>
  </si>
  <si>
    <t>MN86-125.jpg</t>
  </si>
  <si>
    <t>Agmatitic texture in amphibolite</t>
  </si>
  <si>
    <t>MN86-128</t>
  </si>
  <si>
    <t>MN86-128.jpg</t>
  </si>
  <si>
    <t>Folded amphibolite offset by fault and intruded by pegmatite</t>
  </si>
  <si>
    <t>MN86-129</t>
  </si>
  <si>
    <t>MN86-129.jpg</t>
  </si>
  <si>
    <t>MN86-137</t>
  </si>
  <si>
    <t>MN86-137.jpg</t>
  </si>
  <si>
    <t>CG07-110</t>
  </si>
  <si>
    <t>CG07-110.6.jpg</t>
  </si>
  <si>
    <t>Decaying tree trunk</t>
  </si>
  <si>
    <t>CG07-110.7.jpg</t>
  </si>
  <si>
    <t>CG07-122</t>
  </si>
  <si>
    <t>CG07-122.jpg</t>
  </si>
  <si>
    <t>Calc-silicate rock with isoclinal fold</t>
  </si>
  <si>
    <t>CG07-123</t>
  </si>
  <si>
    <t>CG07-123.1.jpg</t>
  </si>
  <si>
    <t>Rubiginous pod</t>
  </si>
  <si>
    <t>CG07-123.2.jpg</t>
  </si>
  <si>
    <t>Rubiginous pods</t>
  </si>
  <si>
    <t>NN84-057</t>
  </si>
  <si>
    <t>NN84-057.1.jpg</t>
  </si>
  <si>
    <t>Diatexite with garnet</t>
  </si>
  <si>
    <t>NN84-057.3.jpg</t>
  </si>
  <si>
    <t>Diatexite with garnet in leucsome</t>
  </si>
  <si>
    <t>CG86-018.03.jpg</t>
  </si>
  <si>
    <t>Alexis River anorthosite intruded by mafic dyke</t>
  </si>
  <si>
    <t>CG86-018.02.jpg</t>
  </si>
  <si>
    <t>CG86-018.01.jpg</t>
  </si>
  <si>
    <t>SN86-154</t>
  </si>
  <si>
    <t>SN86-154.1.jpg</t>
  </si>
  <si>
    <t>Igneous layering in White Bear Arm gabbronorite</t>
  </si>
  <si>
    <t>CG97-090</t>
  </si>
  <si>
    <t>CG97-090.2.jpg</t>
  </si>
  <si>
    <t>Layering in mafic intrusion</t>
  </si>
  <si>
    <t>CG93-122</t>
  </si>
  <si>
    <t>CG93-122.3.jpg</t>
  </si>
  <si>
    <t>Amphibolite tectonic fish in syenite. DEL for scale</t>
  </si>
  <si>
    <t>CG04-043</t>
  </si>
  <si>
    <t>CG04-043.1.jpg</t>
  </si>
  <si>
    <t>Malachite and Azurite copper staining</t>
  </si>
  <si>
    <t>CG04-043.2.jpg</t>
  </si>
  <si>
    <t>RG80-009</t>
  </si>
  <si>
    <t>RG80-009.1.jpg</t>
  </si>
  <si>
    <t>Contorded amphibolite dyke within granodioritic gneiss</t>
  </si>
  <si>
    <t>RG80-009.2.jpg</t>
  </si>
  <si>
    <t>Recumbent folds in granodioritic gneiss with amphibolite</t>
  </si>
  <si>
    <t>CG84-137</t>
  </si>
  <si>
    <t>CG84-137.1.jpg</t>
  </si>
  <si>
    <t>Crenulation folds with quartzofeldspathic melts</t>
  </si>
  <si>
    <t>CG84-137.2.jpg</t>
  </si>
  <si>
    <t>VN91-192</t>
  </si>
  <si>
    <t>VN91-192.jpg</t>
  </si>
  <si>
    <t>Diorite enclave in strongly foliated granodiorite</t>
  </si>
  <si>
    <t>VN91-193</t>
  </si>
  <si>
    <t>VN91-193.jpg</t>
  </si>
  <si>
    <t>Hornblende-rich amphibolite enclaves in strongly foliated biotite granodiorite</t>
  </si>
  <si>
    <t>VN91-264</t>
  </si>
  <si>
    <t>VN91-264.11.jpg</t>
  </si>
  <si>
    <t>Attenuated garnet in quartz diorite gneiss</t>
  </si>
  <si>
    <t>CG07-173.2.jpg</t>
  </si>
  <si>
    <t>Large hornblende crystals in pegmatite</t>
  </si>
  <si>
    <t>CG86-688</t>
  </si>
  <si>
    <t>CG86-688.5.jpg</t>
  </si>
  <si>
    <t>Enclave of metasedimentary gneiss in Gilbert Bay pluton</t>
  </si>
  <si>
    <t>CG93-035</t>
  </si>
  <si>
    <t>CG93-035.jpg</t>
  </si>
  <si>
    <t>Gneiss and mafic dyke containing quenched plagioclase</t>
  </si>
  <si>
    <t>CG93-043</t>
  </si>
  <si>
    <t>CG93-043.jpg</t>
  </si>
  <si>
    <t>Texture in Red Bay gabbronorite</t>
  </si>
  <si>
    <t>CG93-047</t>
  </si>
  <si>
    <t>CG93-047.jpg</t>
  </si>
  <si>
    <t>Syenite and northeast margin of Red Bay gabbronorite</t>
  </si>
  <si>
    <t>CG04-205</t>
  </si>
  <si>
    <t>CG04-205.2.jpg</t>
  </si>
  <si>
    <t>VN91-078</t>
  </si>
  <si>
    <t>VN91-078.4.jpg</t>
  </si>
  <si>
    <t>91-11</t>
  </si>
  <si>
    <t>Magnetite in pegmatite</t>
  </si>
  <si>
    <t>VN91-078.2.jpg</t>
  </si>
  <si>
    <t>Magnetite crystals in pegmatite intruding hornblende-rich metagabbro</t>
  </si>
  <si>
    <t>CG80-004</t>
  </si>
  <si>
    <t>CG80-004.1.jpg</t>
  </si>
  <si>
    <t>Garnet-rich rock, possibly originally psammite. Now mylonite</t>
  </si>
  <si>
    <t>CG86-034</t>
  </si>
  <si>
    <t>CG86-034.jpg</t>
  </si>
  <si>
    <t>Primary layering in dunite in Alexis River anorthosite</t>
  </si>
  <si>
    <t>CG92-147</t>
  </si>
  <si>
    <t>CG92-147.jpg</t>
  </si>
  <si>
    <t>Fine-grained granite interlayered with biotitic amphibolite</t>
  </si>
  <si>
    <t>CG92-151</t>
  </si>
  <si>
    <t>CG92-151.1.jpg</t>
  </si>
  <si>
    <t>Strongly foliated granitoid rock</t>
  </si>
  <si>
    <t>MC77-243</t>
  </si>
  <si>
    <t>MC77-243.1.jpg</t>
  </si>
  <si>
    <t>77-05</t>
  </si>
  <si>
    <t>SEP 77T4</t>
  </si>
  <si>
    <t>Recumbent isoclinal fold</t>
  </si>
  <si>
    <t>CG80-125</t>
  </si>
  <si>
    <t>CG80-125.2.jpg</t>
  </si>
  <si>
    <t>Intrafolial isoclinal fold in tonalite/granodiorite gneiss</t>
  </si>
  <si>
    <t>CG80-125.3.jpg</t>
  </si>
  <si>
    <t>Granodioritic/tonalitic gneiss</t>
  </si>
  <si>
    <t>VN93-039</t>
  </si>
  <si>
    <t>VN93-039.1.jpg</t>
  </si>
  <si>
    <t>93-11</t>
  </si>
  <si>
    <t>JUL 93B</t>
  </si>
  <si>
    <t>Deformed amphibolite dyke intruding granite and granodiorite</t>
  </si>
  <si>
    <t>CG84-172.10.jpg</t>
  </si>
  <si>
    <t>Boudinage neck in Michael gabbro</t>
  </si>
  <si>
    <t>CG84-172.03.jpg</t>
  </si>
  <si>
    <t>Quartz diorite with pegmatite; geochron. sample site</t>
  </si>
  <si>
    <t>CG86-688.2.jpg</t>
  </si>
  <si>
    <t>CG04-208</t>
  </si>
  <si>
    <t>CG04-208.jpg</t>
  </si>
  <si>
    <t>CG04-209.1.jpg</t>
  </si>
  <si>
    <t>VN87-356</t>
  </si>
  <si>
    <t>VN87-356.2.jpg</t>
  </si>
  <si>
    <t>Strongly lineated quartz diorite gneiss</t>
  </si>
  <si>
    <t>VN87-356.1.jpg</t>
  </si>
  <si>
    <t>Tight to isoclinal fold in hornblende-biotite quartz diorite to diorite gneiss</t>
  </si>
  <si>
    <t>VN87-358</t>
  </si>
  <si>
    <t>VN87-358.jpg</t>
  </si>
  <si>
    <t>Amphibolitic gneiss enclave in foliated biotite hornblende granodiorite</t>
  </si>
  <si>
    <t>VN87-359</t>
  </si>
  <si>
    <t>VN87-359.jpg</t>
  </si>
  <si>
    <t>Fine-grained granodiorite dyke intruding megacrystic granite and diorite gneiss</t>
  </si>
  <si>
    <t>VN87-369</t>
  </si>
  <si>
    <t>VN87-369.jpg</t>
  </si>
  <si>
    <t>Strongly foliated granodiorite intruded by boudinaged amphibolite dyke</t>
  </si>
  <si>
    <t>SN86-061</t>
  </si>
  <si>
    <t>SN86-061.jpg</t>
  </si>
  <si>
    <t>Fold axis in amphibolitic rocks</t>
  </si>
  <si>
    <t>SN86-064</t>
  </si>
  <si>
    <t>SN86-064.jpg</t>
  </si>
  <si>
    <t>Deformation and transposition in Alexis River anorthosite</t>
  </si>
  <si>
    <t>SN86-083</t>
  </si>
  <si>
    <t>SN86-083.2.jpg</t>
  </si>
  <si>
    <t>Cordierite-bearing metasedimentary gneiss</t>
  </si>
  <si>
    <t>SN86-083.1.jpg</t>
  </si>
  <si>
    <t>SN86-085</t>
  </si>
  <si>
    <t>SN86-085.jpg</t>
  </si>
  <si>
    <t>Enclaves in K-feldspar megacrystic granodiorite</t>
  </si>
  <si>
    <t>RG80-109</t>
  </si>
  <si>
    <t>RG80-109.jpg</t>
  </si>
  <si>
    <t>Granodioritic gneiss containing garnet, mylonitic</t>
  </si>
  <si>
    <t>RG80-110</t>
  </si>
  <si>
    <t>RG80-110.jpg</t>
  </si>
  <si>
    <t>RG80-113</t>
  </si>
  <si>
    <t>RG80-113.jpg</t>
  </si>
  <si>
    <t>Faulting in mylonitic granodioritic gneiss</t>
  </si>
  <si>
    <t>RG80-114</t>
  </si>
  <si>
    <t>RG80-114.jpg</t>
  </si>
  <si>
    <t>RG80-117</t>
  </si>
  <si>
    <t>RG80-117.jpg</t>
  </si>
  <si>
    <t>Amphibolite gneiss</t>
  </si>
  <si>
    <t>RG80-123</t>
  </si>
  <si>
    <t>RG80-123.jpg</t>
  </si>
  <si>
    <t>K-feldspar megacrystic granodiorite with foliation</t>
  </si>
  <si>
    <t>RG80-133.01.jpg</t>
  </si>
  <si>
    <t>RG80-133.12.jpg</t>
  </si>
  <si>
    <t>CG79-024</t>
  </si>
  <si>
    <t>CG79-024.jpg</t>
  </si>
  <si>
    <t>Felsic pyroclastic rock showing fracture cleavage</t>
  </si>
  <si>
    <t>CG79-029.1.jpg</t>
  </si>
  <si>
    <t>VN91-034</t>
  </si>
  <si>
    <t>VN91-034.3.jpg</t>
  </si>
  <si>
    <t>Dioritic enclaves agmatized in leucocratic quartz diorite</t>
  </si>
  <si>
    <t>VN91-036</t>
  </si>
  <si>
    <t>VN91-036.1.jpg</t>
  </si>
  <si>
    <t>Plagioclase porphyritic amphibolite enclaves in K-feldspar megacrystic granite gneiss</t>
  </si>
  <si>
    <t>MC77-237</t>
  </si>
  <si>
    <t>MC77-237.2.jpg</t>
  </si>
  <si>
    <t>Migmatite</t>
  </si>
  <si>
    <t>MC77-237.1.jpg</t>
  </si>
  <si>
    <t>Gabbro capping gneiss</t>
  </si>
  <si>
    <t>CG81-306.01.jpg</t>
  </si>
  <si>
    <t>CG81-306.20.jpg</t>
  </si>
  <si>
    <t>TR, GF, DF and VO with geochron samples</t>
  </si>
  <si>
    <t>AD79-104</t>
  </si>
  <si>
    <t>AD79-104.1.jpg</t>
  </si>
  <si>
    <t>Pyroxenite differentiate in granite-gabbro zone</t>
  </si>
  <si>
    <t>AD79-104.2.jpg</t>
  </si>
  <si>
    <t>Mafic pegmatite (appinite) at margins of pyroxenite</t>
  </si>
  <si>
    <t>AD79-104.3.jpg</t>
  </si>
  <si>
    <t>Hornblende gabbro</t>
  </si>
  <si>
    <t>AD79-107</t>
  </si>
  <si>
    <t>AD79-107.jpg</t>
  </si>
  <si>
    <t>Deformed megacrystic granite and granodiorite</t>
  </si>
  <si>
    <t>CG80-030</t>
  </si>
  <si>
    <t>CG80-030.jpg</t>
  </si>
  <si>
    <t>Double Mer, looking west from east end, north side</t>
  </si>
  <si>
    <t>NN84-456</t>
  </si>
  <si>
    <t>NN84-456.1.jpg</t>
  </si>
  <si>
    <t>NN84-456.2.jpg</t>
  </si>
  <si>
    <t>NN84-502</t>
  </si>
  <si>
    <t>NN84-502.2.jpg</t>
  </si>
  <si>
    <t>84-14</t>
  </si>
  <si>
    <t>SEP 84T2</t>
  </si>
  <si>
    <t>Refolded fold in tonalitic gneiss; Sheath fold? [CFG]</t>
  </si>
  <si>
    <t>NN84-502.1.jpg</t>
  </si>
  <si>
    <t>Well-banded, amphibolite - tonalite with quartzofeldspathic segregations</t>
  </si>
  <si>
    <t>NN84-509</t>
  </si>
  <si>
    <t>NN84-509.6.jpg</t>
  </si>
  <si>
    <t>Alexis River anorthosite showing vertical gneissosity</t>
  </si>
  <si>
    <t>VN93-651</t>
  </si>
  <si>
    <t>VN93-651.1.jpg</t>
  </si>
  <si>
    <t>Intercalated muscovite-bearing metasediment and K-feldspar megacrystic rock</t>
  </si>
  <si>
    <t>VN93-651.2.jpg</t>
  </si>
  <si>
    <t>Dextral(?) kinematic indication from K-feldspar megacrysts in granite</t>
  </si>
  <si>
    <t>CG85-454.3.jpg</t>
  </si>
  <si>
    <t>Labrador tea</t>
  </si>
  <si>
    <t>CG87-426.2.jpg</t>
  </si>
  <si>
    <t>Folded foliation in granite with granitic segregations along axial surfaces</t>
  </si>
  <si>
    <t>CG93-208</t>
  </si>
  <si>
    <t>CG93-208.2.jpg</t>
  </si>
  <si>
    <t>Ferruginous (gossanous) pelitic gneiss</t>
  </si>
  <si>
    <t>CG93-238</t>
  </si>
  <si>
    <t>CG93-238.1.jpg</t>
  </si>
  <si>
    <t>Boulder-strewn barrens</t>
  </si>
  <si>
    <t>CG81-610</t>
  </si>
  <si>
    <t>CG81-610.jpg</t>
  </si>
  <si>
    <t>Retrogressed margin of Mealy dyke due to pegmatite intrusion</t>
  </si>
  <si>
    <t>CG86-688.3.jpg</t>
  </si>
  <si>
    <t>Enclave of metasedimentary gneiss intruded by mafic dyke in Gilbert Bay pluton</t>
  </si>
  <si>
    <t>CG86-688.4.jpg</t>
  </si>
  <si>
    <t>Margin of enclave in Gilbert Bay pluton</t>
  </si>
  <si>
    <t>CG92-269</t>
  </si>
  <si>
    <t>CG92-269.1E.jpg</t>
  </si>
  <si>
    <t>View looking northwest over wetlands to low hills underlain by Grenvillian granite</t>
  </si>
  <si>
    <t>CG92-281</t>
  </si>
  <si>
    <t>CG92-281.2.jpg</t>
  </si>
  <si>
    <t>Microgranite intruding Upper St. Lewis (east) monzonite</t>
  </si>
  <si>
    <t>CG92-281.3.jpg</t>
  </si>
  <si>
    <t>Plagioclase-phyric intermediate dyke intruding Upper St. Lewis (east) monzonite</t>
  </si>
  <si>
    <t>NN80-069</t>
  </si>
  <si>
    <t>NN80-069.jpg</t>
  </si>
  <si>
    <t>Amphibolite in core of fold with enveloping gneisses</t>
  </si>
  <si>
    <t>VN95-173</t>
  </si>
  <si>
    <t>VN95-173.3.jpg</t>
  </si>
  <si>
    <t>Foliated to massive monzonite</t>
  </si>
  <si>
    <t>HP92-032</t>
  </si>
  <si>
    <t>HP92-032.3.jpg</t>
  </si>
  <si>
    <t>Granite with enclaves and microgranite dyke</t>
  </si>
  <si>
    <t>HP92-032.2.jpg</t>
  </si>
  <si>
    <t>Granite with enclaves</t>
  </si>
  <si>
    <t>CG80-054.1.jpg</t>
  </si>
  <si>
    <t>CG80-122</t>
  </si>
  <si>
    <t>CG80-122.1.jpg</t>
  </si>
  <si>
    <t>Melting in amphibolite</t>
  </si>
  <si>
    <t>CG80-125.1.jpg</t>
  </si>
  <si>
    <t>Granitic gneiss</t>
  </si>
  <si>
    <t>CG82-027.3.jpg</t>
  </si>
  <si>
    <t>Pottles Bay intrusion, on coast, centre</t>
  </si>
  <si>
    <t>CG04-106</t>
  </si>
  <si>
    <t>CG04-106.03.jpg</t>
  </si>
  <si>
    <t>Contact showing amphibolite is a mafic dyke intruded into foliated granite</t>
  </si>
  <si>
    <t>CG04-106.04.jpg</t>
  </si>
  <si>
    <t>Amphibolite being transposed into shear zone</t>
  </si>
  <si>
    <t>CG04-106.05.jpg</t>
  </si>
  <si>
    <t>CG04-106.06.jpg</t>
  </si>
  <si>
    <t>CG04-106.07.jpg</t>
  </si>
  <si>
    <t>CG04-106.08.jpg</t>
  </si>
  <si>
    <t>Pod of pink granite and amphibolite within shear zone</t>
  </si>
  <si>
    <t>CG04-106.09.jpg</t>
  </si>
  <si>
    <t>Chocolate roll; equivalent to amphibolite pre shearing</t>
  </si>
  <si>
    <t>CG04-106.10.jpg</t>
  </si>
  <si>
    <t>Chocolate roll; equivalent to amphibolite post shearing</t>
  </si>
  <si>
    <t>CG95-228</t>
  </si>
  <si>
    <t>CG95-228.1.jpg</t>
  </si>
  <si>
    <t>95-03</t>
  </si>
  <si>
    <t>Porphyritic monzonite of Mealy Mountains Intrusive Suite</t>
  </si>
  <si>
    <t>CG95-239</t>
  </si>
  <si>
    <t>CG95-239.1.jpg</t>
  </si>
  <si>
    <t>Leucotroctolite in Mealy Mountains Intrusive Suite</t>
  </si>
  <si>
    <t>CG95-316</t>
  </si>
  <si>
    <t>CG95-316.3.jpg</t>
  </si>
  <si>
    <t>Texture in granite near margin of Mealy Mountains Intrusive Suite</t>
  </si>
  <si>
    <t>CG95-316.4.jpg</t>
  </si>
  <si>
    <t>RG80-061.3.jpg</t>
  </si>
  <si>
    <t>VN93-095</t>
  </si>
  <si>
    <t>VN93-095.3.jpg</t>
  </si>
  <si>
    <t>Banding in rocks of suspected felsic volcanic origin</t>
  </si>
  <si>
    <t>SN86-396</t>
  </si>
  <si>
    <t>SN86-396.2.jpg</t>
  </si>
  <si>
    <t>Folded leucosome layers</t>
  </si>
  <si>
    <t>CG81-190.2.jpg</t>
  </si>
  <si>
    <t>K-feldspar megacrystic granodiorite, deformed</t>
  </si>
  <si>
    <t>CG81-193</t>
  </si>
  <si>
    <t>CG81-193.jpg</t>
  </si>
  <si>
    <t>K-feldspar megacrystic granodiorite; porphyry margin</t>
  </si>
  <si>
    <t>CG81-215.2.jpg</t>
  </si>
  <si>
    <t>Younger mafic dyke intruded by intermediate megacrystic dyke (same site as CG84-436)</t>
  </si>
  <si>
    <t>CG99-076</t>
  </si>
  <si>
    <t>CG99-076.2.jpg</t>
  </si>
  <si>
    <t>Amphibolite enclaves in metagabbro</t>
  </si>
  <si>
    <t>CG80-338</t>
  </si>
  <si>
    <t>CG80-338.1.jpg</t>
  </si>
  <si>
    <t>Granodiorite\tonalite gneiss</t>
  </si>
  <si>
    <t>CG80-338.2.jpg</t>
  </si>
  <si>
    <t>Mafic dyke in granodiorite to tonalite gneiss</t>
  </si>
  <si>
    <t>CG80-338.3.jpg</t>
  </si>
  <si>
    <t>Bladed magnetite-ilmenite in pegmatite</t>
  </si>
  <si>
    <t>CG80-338.4.jpg</t>
  </si>
  <si>
    <t>Fine-grained mafic dyke intruding coarse-grained mafic dyke</t>
  </si>
  <si>
    <t>CG95-261</t>
  </si>
  <si>
    <t>CG95-261.2.jpg</t>
  </si>
  <si>
    <t>Near-horizontal Mealy dyke</t>
  </si>
  <si>
    <t>CG00-043.5.jpg</t>
  </si>
  <si>
    <t>Camp site bear damage 4; location 1km N. of CG00-043</t>
  </si>
  <si>
    <t>CG81-001.21.jpg</t>
  </si>
  <si>
    <t>Cartwright 3</t>
  </si>
  <si>
    <t>CG81-001.18.jpg</t>
  </si>
  <si>
    <t>Cartwright 2</t>
  </si>
  <si>
    <t>CG81-001.19.jpg</t>
  </si>
  <si>
    <t>Cartwright, wharf area 1</t>
  </si>
  <si>
    <t>CG81-001.11.jpg</t>
  </si>
  <si>
    <t>Kids in Cartwright</t>
  </si>
  <si>
    <t>CG81-001.17.jpg</t>
  </si>
  <si>
    <t>Cartwright 1</t>
  </si>
  <si>
    <t>MC77-081.1.jpg</t>
  </si>
  <si>
    <t>Folding in granitic (metasedimentary?) gneiss</t>
  </si>
  <si>
    <t>MC77-081.4.jpg</t>
  </si>
  <si>
    <t>Buckled pegmatite in tonalitic/granitic gneiss</t>
  </si>
  <si>
    <t>MC77-088</t>
  </si>
  <si>
    <t>MC77-088.jpg</t>
  </si>
  <si>
    <t>Granodiorite gneiss and amphibolite</t>
  </si>
  <si>
    <t>MC77-089</t>
  </si>
  <si>
    <t>MC77-089.jpg</t>
  </si>
  <si>
    <t>VN87-336</t>
  </si>
  <si>
    <t>VN87-336.jpg</t>
  </si>
  <si>
    <t>Well-banded amphibolitic material intercalated with leucocratic granitic layers</t>
  </si>
  <si>
    <t>SN86-337</t>
  </si>
  <si>
    <t>SN86-337.4.jpg</t>
  </si>
  <si>
    <t>Amphibolite pod</t>
  </si>
  <si>
    <t>CG81-345</t>
  </si>
  <si>
    <t>CG81-345.jpg</t>
  </si>
  <si>
    <t>Curlew Harbour metasedimentary gneiss and alaskite</t>
  </si>
  <si>
    <t>CG81-346</t>
  </si>
  <si>
    <t>CG81-346.jpg</t>
  </si>
  <si>
    <t>CG81-352.1.jpg</t>
  </si>
  <si>
    <t>Schistose tonalite/granodiorite gneiss</t>
  </si>
  <si>
    <t>CG81-001.15.jpg</t>
  </si>
  <si>
    <t>Cartwright, rented houses</t>
  </si>
  <si>
    <t>CG81-676</t>
  </si>
  <si>
    <t>CG81-676.jpg</t>
  </si>
  <si>
    <t>Quartz diorite, microgranite, mafic dyke then pegmatite</t>
  </si>
  <si>
    <t>CG81-679</t>
  </si>
  <si>
    <t>CG81-679.jpg</t>
  </si>
  <si>
    <t>Sinistral rotation in gabbro boudin in tonalite/granodiorite gneiss</t>
  </si>
  <si>
    <t>CG81-711</t>
  </si>
  <si>
    <t>CG81-711.1.jpg</t>
  </si>
  <si>
    <t>Tonalite gneiss remelted at margin of gabbro</t>
  </si>
  <si>
    <t>CG81-711.2.jpg</t>
  </si>
  <si>
    <t>Discordance between gabbro and tonalite/granodiorite gneiss despite later boudinage</t>
  </si>
  <si>
    <t>CG79-119.1.jpg</t>
  </si>
  <si>
    <t>CG79-120</t>
  </si>
  <si>
    <t>CG79-120.jpg</t>
  </si>
  <si>
    <t>Remnant mafic dyke intruded by microgranite</t>
  </si>
  <si>
    <t>CG79-137</t>
  </si>
  <si>
    <t>CG79-137.jpg</t>
  </si>
  <si>
    <t>contact between fine-grained felsic rock and massive hornblende granite</t>
  </si>
  <si>
    <t>VN95-111.1.jpg</t>
  </si>
  <si>
    <t>VO81-096</t>
  </si>
  <si>
    <t>VO81-096.3.jpg</t>
  </si>
  <si>
    <t>Domal structure in garnet granodiorite</t>
  </si>
  <si>
    <t>VO81-096.2.jpg</t>
  </si>
  <si>
    <t>K-feldspar porphyroclast, no obvious sense of rotation</t>
  </si>
  <si>
    <t>VO81-096.1.jpg</t>
  </si>
  <si>
    <t>Wrapping of diorite by migmatitic granodiorite, with GW</t>
  </si>
  <si>
    <t>CG87-055.10.jpg</t>
  </si>
  <si>
    <t>Graphite in metasedimentary gneiss</t>
  </si>
  <si>
    <t>CG87-127.2.jpg</t>
  </si>
  <si>
    <t>CG80-133</t>
  </si>
  <si>
    <t>CG80-133.1.jpg</t>
  </si>
  <si>
    <t>Brittle-fault breccia, offset pegmatite and greenschist facies alteration</t>
  </si>
  <si>
    <t>NN80-123.5.jpg</t>
  </si>
  <si>
    <t>Amphibolite dyke discordantly intruding granodiorite gneiss</t>
  </si>
  <si>
    <t>GM85-370</t>
  </si>
  <si>
    <t>GM85-370.jpg</t>
  </si>
  <si>
    <t>85-09</t>
  </si>
  <si>
    <t>GM85-378</t>
  </si>
  <si>
    <t>GM85-378.1.jpg</t>
  </si>
  <si>
    <t>Amphibolitic gneiss enclave in granite</t>
  </si>
  <si>
    <t>GM85-378.2.jpg</t>
  </si>
  <si>
    <t>GM85-384</t>
  </si>
  <si>
    <t>GM85-384.2.jpg</t>
  </si>
  <si>
    <t>Garnet biotite muscovite metasedimentary gneiss</t>
  </si>
  <si>
    <t>GM85-384.1.jpg</t>
  </si>
  <si>
    <t>GM85-435</t>
  </si>
  <si>
    <t>GM85-435.2.jpg</t>
  </si>
  <si>
    <t>Gneissic biotite granodiorite with quartz leucodiorite veins</t>
  </si>
  <si>
    <t>GM85-435.1.jpg</t>
  </si>
  <si>
    <t>GM85-452</t>
  </si>
  <si>
    <t>GM85-452.2.jpg</t>
  </si>
  <si>
    <t>Metasedimentary diatexite</t>
  </si>
  <si>
    <t>GM85-452.1.jpg</t>
  </si>
  <si>
    <t>CG86-621.2.jpg</t>
  </si>
  <si>
    <t>CG86-621.3.jpg</t>
  </si>
  <si>
    <t>Pegmatite with magnetite</t>
  </si>
  <si>
    <t>CG85-140</t>
  </si>
  <si>
    <t>CG85-140.2.jpg</t>
  </si>
  <si>
    <t>Enclave of metasedimentary gneiss within granodiorite</t>
  </si>
  <si>
    <t>CG85-140.1.jpg</t>
  </si>
  <si>
    <t>CG85-145</t>
  </si>
  <si>
    <t>CG85-145.4.jpg</t>
  </si>
  <si>
    <t>Sand Hill Big Pond - Brinex camp site 3 (Don Lake)</t>
  </si>
  <si>
    <t>CG85-145.3.jpg</t>
  </si>
  <si>
    <t>Sand Hill Big Pond - Brinex camp site 2 (Don Lake)</t>
  </si>
  <si>
    <t>CG85-145.2.jpg</t>
  </si>
  <si>
    <t>Sand Hill Big Pond - Brinex camp site 1 (Don Lake)</t>
  </si>
  <si>
    <t>GM85-498</t>
  </si>
  <si>
    <t>GM85-498.3.jpg</t>
  </si>
  <si>
    <t>Fine-grained gneissic granodiorite enclave</t>
  </si>
  <si>
    <t>GM85-498.1.jpg</t>
  </si>
  <si>
    <t>Well-banded gneiss</t>
  </si>
  <si>
    <t>GM85-498.2.jpg</t>
  </si>
  <si>
    <t>GM85-498.5.jpg</t>
  </si>
  <si>
    <t>GM85-498.4.jpg</t>
  </si>
  <si>
    <t>GM85-498.6.jpg</t>
  </si>
  <si>
    <t>GM85-501</t>
  </si>
  <si>
    <t>GM85-501.jpg</t>
  </si>
  <si>
    <t>VN93-107</t>
  </si>
  <si>
    <t>VN93-107.jpg</t>
  </si>
  <si>
    <t>Hornblende-rich leucocratic segregations in granodiorite</t>
  </si>
  <si>
    <t>CG03-100</t>
  </si>
  <si>
    <t>CG03-100.1.jpg</t>
  </si>
  <si>
    <t>Amphibolite, tonalite gneiss and granodiorite gneiss showing tectonic truncations</t>
  </si>
  <si>
    <t>CG03-100.2.jpg</t>
  </si>
  <si>
    <t>Tectonically truncated pegmatitic vein</t>
  </si>
  <si>
    <t>CG03-102</t>
  </si>
  <si>
    <t>CG03-102.1.jpg</t>
  </si>
  <si>
    <t>Psammite / quartzite, deformed</t>
  </si>
  <si>
    <t>CG03-103</t>
  </si>
  <si>
    <t>CG03-103.jpg</t>
  </si>
  <si>
    <t>Psammitic gneiss / granitic gneiss tightly folded</t>
  </si>
  <si>
    <t>CG03-113.1.jpg</t>
  </si>
  <si>
    <t>Psammitic gneiss - grey granodiorite contact</t>
  </si>
  <si>
    <t>CG93-685.1.jpg</t>
  </si>
  <si>
    <t>Banding in granitic gneiss marginal to Lower Pinware river alkali-feldspar syenite</t>
  </si>
  <si>
    <t>CG93-685.2.jpg</t>
  </si>
  <si>
    <t>CG93-694</t>
  </si>
  <si>
    <t>CG93-694.jpg</t>
  </si>
  <si>
    <t>Fine-grained metasedimentary gneiss</t>
  </si>
  <si>
    <t>CG93-695</t>
  </si>
  <si>
    <t>CG93-695.2.jpg</t>
  </si>
  <si>
    <t>Possible agglomerate, but probably tectonic in origin</t>
  </si>
  <si>
    <t>CG86-088</t>
  </si>
  <si>
    <t>CG86-088.07.jpg</t>
  </si>
  <si>
    <t>Horses in Port Hope Simpson</t>
  </si>
  <si>
    <t>CG86-088.12.jpg</t>
  </si>
  <si>
    <t>Field crew, 1986</t>
  </si>
  <si>
    <t>CG86-088.11.jpg</t>
  </si>
  <si>
    <t>Worn-out field boots</t>
  </si>
  <si>
    <t>CG86-088.14.jpg</t>
  </si>
  <si>
    <t>Morning mist on Alexis River 2</t>
  </si>
  <si>
    <t>CG86-088.18.jpg</t>
  </si>
  <si>
    <t>CC, GS, JD and GW in P. H. Simpson (1997)</t>
  </si>
  <si>
    <t>VN87-391</t>
  </si>
  <si>
    <t>VN87-391.jpg</t>
  </si>
  <si>
    <t>Intercalated calc-silicate (epidote garnet diopside) gneiss and quartzite</t>
  </si>
  <si>
    <t>CG93-454</t>
  </si>
  <si>
    <t>CG93-454.2.jpg</t>
  </si>
  <si>
    <t>Overturned tight folds defined by epidote-rich layers</t>
  </si>
  <si>
    <t>CG04-286.09.jpg</t>
  </si>
  <si>
    <t>Boat at Paradise River high and dry (1984)</t>
  </si>
  <si>
    <t>CG04-286.08.jpg</t>
  </si>
  <si>
    <t>Paradise River at sunset  (1984)</t>
  </si>
  <si>
    <t>CG93-031</t>
  </si>
  <si>
    <t>CG93-031.1.jpg</t>
  </si>
  <si>
    <t>Late, brittle fault displacing pegmatite</t>
  </si>
  <si>
    <t>CG93-031.2.jpg</t>
  </si>
  <si>
    <t>CG93-032</t>
  </si>
  <si>
    <t>CG93-032.jpg</t>
  </si>
  <si>
    <t>Mafic dyke, pegmatite and Phyllis McCrindle</t>
  </si>
  <si>
    <t>AD79-114</t>
  </si>
  <si>
    <t>AD79-114.1.jpg</t>
  </si>
  <si>
    <t>Gabbro agmatite, injected by fine-grained granite</t>
  </si>
  <si>
    <t>CG87-467</t>
  </si>
  <si>
    <t>CG87-467.2.jpg</t>
  </si>
  <si>
    <t>Hornblende porphyroblasts in migmatitic granodiorite</t>
  </si>
  <si>
    <t>CG87-467.1.jpg</t>
  </si>
  <si>
    <t>Migmatitic, grey granodiorite</t>
  </si>
  <si>
    <t>MC77-214.1.jpg</t>
  </si>
  <si>
    <t>Coronitic metagabbro</t>
  </si>
  <si>
    <t>MC77-217</t>
  </si>
  <si>
    <t>MC77-217.2.jpg</t>
  </si>
  <si>
    <t>Augen gneiss</t>
  </si>
  <si>
    <t>CG84-317</t>
  </si>
  <si>
    <t>CG84-317.jpg</t>
  </si>
  <si>
    <t>84-05</t>
  </si>
  <si>
    <t>Hornblende quartz monzonite; geochron. sample site</t>
  </si>
  <si>
    <t>CG80-391</t>
  </si>
  <si>
    <t>CG80-391.jpg</t>
  </si>
  <si>
    <t>Normal faulting in mafic dyke</t>
  </si>
  <si>
    <t>CG80-393</t>
  </si>
  <si>
    <t>CG80-393.jpg</t>
  </si>
  <si>
    <t>Brittle faulting in pegmatite</t>
  </si>
  <si>
    <t>CG80-394</t>
  </si>
  <si>
    <t>CG80-394.jpg</t>
  </si>
  <si>
    <t>Leucosome at contact between mafic dyke and granodioritic gneiss</t>
  </si>
  <si>
    <t>CG80-422</t>
  </si>
  <si>
    <t>CG80-422.3.jpg</t>
  </si>
  <si>
    <t>Uraniferous (yellow) staining in pegmatite</t>
  </si>
  <si>
    <t>CG80-422.5.jpg</t>
  </si>
  <si>
    <t>CG80-422.4.jpg</t>
  </si>
  <si>
    <t>CG80-422.2.jpg</t>
  </si>
  <si>
    <t>GM85-484.2.jpg</t>
  </si>
  <si>
    <t>CG84-168</t>
  </si>
  <si>
    <t>CG84-168.jpg</t>
  </si>
  <si>
    <t>Leucogabbro with enclave of Alexis River anorthosite</t>
  </si>
  <si>
    <t>CG87-485</t>
  </si>
  <si>
    <t>CG87-485.jpg</t>
  </si>
  <si>
    <t>Amazonite in pegmatite intruding metasedimentary gneiss</t>
  </si>
  <si>
    <t>VN92-072</t>
  </si>
  <si>
    <t>VN92-072.1.jpg</t>
  </si>
  <si>
    <t>VN92-072.2.jpg</t>
  </si>
  <si>
    <t>VN92-072.3.jpg</t>
  </si>
  <si>
    <t>Large hornblende crystals in foliated granite</t>
  </si>
  <si>
    <t>CG04-286.11.jpg</t>
  </si>
  <si>
    <t>Field crew  (1984)</t>
  </si>
  <si>
    <t>CG04-286.10.jpg</t>
  </si>
  <si>
    <t>CG80-322.2.jpg</t>
  </si>
  <si>
    <t>Volcanic (?) breccia</t>
  </si>
  <si>
    <t>VN91-221</t>
  </si>
  <si>
    <t>VN91-221.2.jpg</t>
  </si>
  <si>
    <t>Strain variation in K-feldspar megacrystic granite</t>
  </si>
  <si>
    <t>VN91-223</t>
  </si>
  <si>
    <t>VN91-223.4.jpg</t>
  </si>
  <si>
    <t>Dioritic gneiss</t>
  </si>
  <si>
    <t>VN91-223.2.jpg</t>
  </si>
  <si>
    <t>Well-banded migmatitic metasedimentary gneiss</t>
  </si>
  <si>
    <t>VN91-223.3.jpg</t>
  </si>
  <si>
    <t>Folds in dioritic gneiss</t>
  </si>
  <si>
    <t>VN91-223.1.jpg</t>
  </si>
  <si>
    <t>Mylonitic granodiorite/ quartz diorite gneiss</t>
  </si>
  <si>
    <t>CG80-191</t>
  </si>
  <si>
    <t>CG80-191.1.jpg</t>
  </si>
  <si>
    <t>Hornblende biotite tonalite gneiss</t>
  </si>
  <si>
    <t>CG99-254</t>
  </si>
  <si>
    <t>CG99-254.4.jpg</t>
  </si>
  <si>
    <t>99-02</t>
  </si>
  <si>
    <t>AUG 99MN09</t>
  </si>
  <si>
    <t>Granodiorite with mafic enclaves</t>
  </si>
  <si>
    <t>CG99-254.3.jpg</t>
  </si>
  <si>
    <t>Granodiorite intruded by pegmatite; also mafic enclave</t>
  </si>
  <si>
    <t>CG99-254.1.jpg</t>
  </si>
  <si>
    <t>Granodiorite with mafic enclave, intruded by pegmatite</t>
  </si>
  <si>
    <t>SN86-406</t>
  </si>
  <si>
    <t>SN86-406.2.jpg</t>
  </si>
  <si>
    <t>K-feldspar megacrystic granodiorite with pegmatite</t>
  </si>
  <si>
    <t>SN86-406.3.jpg</t>
  </si>
  <si>
    <t>SN86-406.4.jpg</t>
  </si>
  <si>
    <t>Folded metasedimentary gneiss with MH</t>
  </si>
  <si>
    <t>AD79-141</t>
  </si>
  <si>
    <t>AD79-141.jpg</t>
  </si>
  <si>
    <t>79-16</t>
  </si>
  <si>
    <t>Possible rafts of Aillik Group volcanic rocks veined by aplite</t>
  </si>
  <si>
    <t>AD79-145</t>
  </si>
  <si>
    <t>AD79-145.4.jpg</t>
  </si>
  <si>
    <t>Texture in quartz latite porphyry</t>
  </si>
  <si>
    <t>AD79-145.1.jpg</t>
  </si>
  <si>
    <t>Intrusion of quartz porphyry</t>
  </si>
  <si>
    <t>AD79-145.2.jpg</t>
  </si>
  <si>
    <t>VN84-341</t>
  </si>
  <si>
    <t>VN84-341.jpg</t>
  </si>
  <si>
    <t>84-17</t>
  </si>
  <si>
    <t>Paradise Arm K-feldspar megacrystic monzogranite/granodiorite</t>
  </si>
  <si>
    <t>VN84-348</t>
  </si>
  <si>
    <t>VN84-348.2.jpg</t>
  </si>
  <si>
    <t>CG04-265</t>
  </si>
  <si>
    <t>CG04-265.1.jpg</t>
  </si>
  <si>
    <t>Graded bedding in layered mafic intrusion</t>
  </si>
  <si>
    <t>CG04-266</t>
  </si>
  <si>
    <t>CG04-266.jpg</t>
  </si>
  <si>
    <t>Rusty-weathering gabbro</t>
  </si>
  <si>
    <t>CG04-267</t>
  </si>
  <si>
    <t>CG04-267.jpg</t>
  </si>
  <si>
    <t>Layering in gabbro</t>
  </si>
  <si>
    <t>CG04-272</t>
  </si>
  <si>
    <t>CG04-272.1.jpg</t>
  </si>
  <si>
    <t>Early warning station</t>
  </si>
  <si>
    <t>VN92-197</t>
  </si>
  <si>
    <t>VN92-197.12.jpg</t>
  </si>
  <si>
    <t>92-13</t>
  </si>
  <si>
    <t>Margin of amphibolite dyke intruding granite</t>
  </si>
  <si>
    <t>VN87-295</t>
  </si>
  <si>
    <t>VN87-295.3.jpg</t>
  </si>
  <si>
    <t>Strongly foliated biotite granite</t>
  </si>
  <si>
    <t>VN87-295.2.jpg</t>
  </si>
  <si>
    <t>VN87-295.1.jpg</t>
  </si>
  <si>
    <t>Pegmatite intruding foliated granite</t>
  </si>
  <si>
    <t>VN87-319</t>
  </si>
  <si>
    <t>VN87-319.1.jpg</t>
  </si>
  <si>
    <t>Well-banded granodioritic gneiss</t>
  </si>
  <si>
    <t>CG79-081</t>
  </si>
  <si>
    <t>CG79-081.jpg</t>
  </si>
  <si>
    <t>Isoclinal folding in possible supracrustal rocks correlative with Aillik Group</t>
  </si>
  <si>
    <t>CG79-083</t>
  </si>
  <si>
    <t>CG79-083.jpg</t>
  </si>
  <si>
    <t>Metamorphosed volcanic breccia (?)</t>
  </si>
  <si>
    <t>CG79-084</t>
  </si>
  <si>
    <t>CG79-084.jpg</t>
  </si>
  <si>
    <t>Fine-grained possible supracrustal rocks correlative with Aillik Group</t>
  </si>
  <si>
    <t>CG85-644</t>
  </si>
  <si>
    <t>CG85-644.1jpg</t>
  </si>
  <si>
    <t>Pegmatite apparently truncated by mafic dyke</t>
  </si>
  <si>
    <t>JS87-382</t>
  </si>
  <si>
    <t>JS87-382.jpg</t>
  </si>
  <si>
    <t>Amphibolite enclave in granite</t>
  </si>
  <si>
    <t>CG79-814</t>
  </si>
  <si>
    <t>CG79-814.2.jpg</t>
  </si>
  <si>
    <t>79-10</t>
  </si>
  <si>
    <t>SEP 79T5</t>
  </si>
  <si>
    <t>CG79-847</t>
  </si>
  <si>
    <t>CG79-847.jpg</t>
  </si>
  <si>
    <t>Folded tonalitic to granodioritic gneiss</t>
  </si>
  <si>
    <t>CG84-189</t>
  </si>
  <si>
    <t>CG84-189.jpg</t>
  </si>
  <si>
    <t>GM85-631</t>
  </si>
  <si>
    <t>GM85-631.2.jpg</t>
  </si>
  <si>
    <t>Hornblende-bearing, deformed gneissic K-feldspar megacrystic granitoid</t>
  </si>
  <si>
    <t>GM85-633</t>
  </si>
  <si>
    <t>GM85-633.2.jpg</t>
  </si>
  <si>
    <t>Feldspar-phyric diorite to amphibolite</t>
  </si>
  <si>
    <t>GM85-509</t>
  </si>
  <si>
    <t>GM85-509.3.jpg</t>
  </si>
  <si>
    <t>Pervasive epidotization</t>
  </si>
  <si>
    <t>GM85-509.2.jpg</t>
  </si>
  <si>
    <t>GM85-509.1.jpg</t>
  </si>
  <si>
    <t>DE91-090</t>
  </si>
  <si>
    <t>DE91-090.jpg</t>
  </si>
  <si>
    <t>DE91-093</t>
  </si>
  <si>
    <t>DE91-093.jpg</t>
  </si>
  <si>
    <t>Diorite/gabbro</t>
  </si>
  <si>
    <t>DE91-095</t>
  </si>
  <si>
    <t>DE91-095.1.jpg</t>
  </si>
  <si>
    <t>Deformed pegmatite in granodiorite</t>
  </si>
  <si>
    <t>DE91-095.2.jpg</t>
  </si>
  <si>
    <t>DE91-097</t>
  </si>
  <si>
    <t>DE91-097.jpg</t>
  </si>
  <si>
    <t>Sillimanite-bearing metasedimentary gneiss</t>
  </si>
  <si>
    <t>CG79-174</t>
  </si>
  <si>
    <t>CG79-174.2.jpg</t>
  </si>
  <si>
    <t>79-07</t>
  </si>
  <si>
    <t>Sand flats at mouth of MIchael River; Robin Burry fishing1.2 km s. of data stn</t>
  </si>
  <si>
    <t>RG80-350</t>
  </si>
  <si>
    <t>RG80-350.jpg</t>
  </si>
  <si>
    <t>Quartzitic metasedimentary gneiss, and Lester Green</t>
  </si>
  <si>
    <t>RG80-417</t>
  </si>
  <si>
    <t>RG80-417.jpg</t>
  </si>
  <si>
    <t>Gneissic hornblende quartz diorite</t>
  </si>
  <si>
    <t>VN93-601</t>
  </si>
  <si>
    <t>VN93-601.2.jpg</t>
  </si>
  <si>
    <t>Calc-silicate enclave in weakly foliated Upper Beaver Brook quartz monzonite</t>
  </si>
  <si>
    <t>CG93-017</t>
  </si>
  <si>
    <t>CG93-017.jpg</t>
  </si>
  <si>
    <t>Quartz-rich metasedimentary gneiss</t>
  </si>
  <si>
    <t>CG93-019</t>
  </si>
  <si>
    <t>CG93-019.jpg</t>
  </si>
  <si>
    <t>Red Bay leucogabbronorite</t>
  </si>
  <si>
    <t>AD79-229</t>
  </si>
  <si>
    <t>AD79-229.jpg</t>
  </si>
  <si>
    <t>Shear zone with the development of augen texture in biotite granite</t>
  </si>
  <si>
    <t>AD79-230</t>
  </si>
  <si>
    <t>AD79-230.1.jpg</t>
  </si>
  <si>
    <t>Granite gneiss with relict deformed xenolith of syenite</t>
  </si>
  <si>
    <t>AD79-230.2.jpg</t>
  </si>
  <si>
    <t>Mafic dyke in granite</t>
  </si>
  <si>
    <t>AD79-230.3.jpg</t>
  </si>
  <si>
    <t>Sheared mafic dyke</t>
  </si>
  <si>
    <t>AD79-232</t>
  </si>
  <si>
    <t>AD79-232.1.jpg</t>
  </si>
  <si>
    <t>Ultramafic xenolith within deformed quartz monzonite</t>
  </si>
  <si>
    <t>AD79-232.2.jpg</t>
  </si>
  <si>
    <t>Amphibolite-aplite gneiss intruded by gabbro</t>
  </si>
  <si>
    <t>AD79-233</t>
  </si>
  <si>
    <t>AD79-233.jpg</t>
  </si>
  <si>
    <t>Granitic gneiss with sheared mafic inclusions</t>
  </si>
  <si>
    <t>CG84-301</t>
  </si>
  <si>
    <t>CG84-301.2.jpg</t>
  </si>
  <si>
    <t>Granodiorite with quartzofeldspathic veins</t>
  </si>
  <si>
    <t>CG84-301.1.jpg</t>
  </si>
  <si>
    <t>Orthopyroxene-bearing leucosome in amphibolite/mafic granulite</t>
  </si>
  <si>
    <t>CG84-307</t>
  </si>
  <si>
    <t>CG84-307.2.jpg</t>
  </si>
  <si>
    <t>K-feldspar megacrystic granodiorite (originally); now strongly deformed</t>
  </si>
  <si>
    <t>VN91-090</t>
  </si>
  <si>
    <t>VN91-090.1.jpg</t>
  </si>
  <si>
    <t>Banding in hornblende biotite/anorthosite gneiss</t>
  </si>
  <si>
    <t>VN91-090.2.jpg</t>
  </si>
  <si>
    <t>VN91-091</t>
  </si>
  <si>
    <t>VN91-091.1.jpg</t>
  </si>
  <si>
    <t>Diffuse banding in granite/granodiorite</t>
  </si>
  <si>
    <t>VN95-015</t>
  </si>
  <si>
    <t>VN95-015.1.jpg</t>
  </si>
  <si>
    <t>Mauve garnet in migmatitic garnet-muscovite-sillimanite metasedimentary gneiss</t>
  </si>
  <si>
    <t>VN95-015.3.jpg</t>
  </si>
  <si>
    <t>Well-banded, migmatitic garnet-sillimanite-muscovite metasedimentary gneiss</t>
  </si>
  <si>
    <t>VN95-016</t>
  </si>
  <si>
    <t>VN95-016.1.jpg</t>
  </si>
  <si>
    <t>Calc-silicate enclaves in pegmatite</t>
  </si>
  <si>
    <t>VN95-076</t>
  </si>
  <si>
    <t>VN95-076.jpg</t>
  </si>
  <si>
    <t>Well-banded, migmatitic, cordierite-bearing metasedimentary gneiss</t>
  </si>
  <si>
    <t>NN84-158</t>
  </si>
  <si>
    <t>NN84-158.5.jpg</t>
  </si>
  <si>
    <t>Amphibolitic gneiss derived from melanocratic parts of Alexis River anorthosite</t>
  </si>
  <si>
    <t>NN84-158.4.jpg</t>
  </si>
  <si>
    <t>CG85-145.1.jpg</t>
  </si>
  <si>
    <t>CG85-147</t>
  </si>
  <si>
    <t>CG85-147.jpg</t>
  </si>
  <si>
    <t>CG81-162.2.jpg</t>
  </si>
  <si>
    <t>CG81-489</t>
  </si>
  <si>
    <t>CG81-489.jpg</t>
  </si>
  <si>
    <t>Aplite intruding biotite granodiorite gneiss</t>
  </si>
  <si>
    <t>CG81-556.3.jpg</t>
  </si>
  <si>
    <t>CG81-556.6.jpg</t>
  </si>
  <si>
    <t>NN80-156.3.jpg</t>
  </si>
  <si>
    <t>CG80-323</t>
  </si>
  <si>
    <t>CG80-323.3.jpg</t>
  </si>
  <si>
    <t>Temporary camp, Cuff Cove area</t>
  </si>
  <si>
    <t>CG80-303</t>
  </si>
  <si>
    <t>CG80-303.1.jpg</t>
  </si>
  <si>
    <t>Mafic dyke intruding granite</t>
  </si>
  <si>
    <t>CG80-303.2.jpg</t>
  </si>
  <si>
    <t>Granodiorite grading into gneiss</t>
  </si>
  <si>
    <t>SN86-319</t>
  </si>
  <si>
    <t>SN86-319.2.jpg</t>
  </si>
  <si>
    <t>Fresh diabase dyke contact</t>
  </si>
  <si>
    <t>SN86-321</t>
  </si>
  <si>
    <t>SN86-321.jpg</t>
  </si>
  <si>
    <t>VN87-455</t>
  </si>
  <si>
    <t>VN87-455.3.jpg</t>
  </si>
  <si>
    <t>VN87-455.1.jpg</t>
  </si>
  <si>
    <t>Granite and amphibolite layers in mylonite</t>
  </si>
  <si>
    <t>VN87-455.2.jpg</t>
  </si>
  <si>
    <t>Intercalated granite and amphibolite in mylonite</t>
  </si>
  <si>
    <t>VN87-455.4.jpg</t>
  </si>
  <si>
    <t>Folded laminated layered in granite mylonite</t>
  </si>
  <si>
    <t>VN87-457</t>
  </si>
  <si>
    <t>VN87-457.jpg</t>
  </si>
  <si>
    <t>Intercalated biotite granite and amphibolite</t>
  </si>
  <si>
    <t>VN87-475</t>
  </si>
  <si>
    <t>VN87-475.jpg</t>
  </si>
  <si>
    <t>Pegmatite intruding calc-silicate gneiss</t>
  </si>
  <si>
    <t>VN87-476</t>
  </si>
  <si>
    <t>VN87-476.jpg</t>
  </si>
  <si>
    <t>Well-banded calc-silicate gneiss</t>
  </si>
  <si>
    <t>VN87-478</t>
  </si>
  <si>
    <t>VN87-478.jpg</t>
  </si>
  <si>
    <t>Well-developed banding in rock of possible supracrustal origin</t>
  </si>
  <si>
    <t>CG93-423</t>
  </si>
  <si>
    <t>CG93-423.jpg</t>
  </si>
  <si>
    <t>Well-banded orthogneiss</t>
  </si>
  <si>
    <t>CG93-453.2.jpg</t>
  </si>
  <si>
    <t>Fragmental texture in amphibolite; note lineation</t>
  </si>
  <si>
    <t>VO81-147.4.jpg</t>
  </si>
  <si>
    <t>Mylonitized gneiss, dextral transposition</t>
  </si>
  <si>
    <t>VO81-225</t>
  </si>
  <si>
    <t>VO81-225.jpg</t>
  </si>
  <si>
    <t>Migmatitic diorite</t>
  </si>
  <si>
    <t>CG79-791.3.jpg</t>
  </si>
  <si>
    <t>Magnetite and leucsome envelop in tonalitic gneiss</t>
  </si>
  <si>
    <t>US87-003</t>
  </si>
  <si>
    <t>US81-003.1.jpg</t>
  </si>
  <si>
    <t>C-HW and LL at Brig Harbour Island</t>
  </si>
  <si>
    <t>US81-003.2.jpg</t>
  </si>
  <si>
    <t>US at Brig Harbour Island</t>
  </si>
  <si>
    <t>GM85-653</t>
  </si>
  <si>
    <t>GM85-653.1.jpg</t>
  </si>
  <si>
    <t>Monzodiorite and amphibolite intrusion</t>
  </si>
  <si>
    <t>GM85-653.2.jpg</t>
  </si>
  <si>
    <t>CG87-445.5.jpg</t>
  </si>
  <si>
    <t>Edge of felsic gneiss enclave (possibly supracrustal) in Cape Charles granite</t>
  </si>
  <si>
    <t>CG87-446</t>
  </si>
  <si>
    <t>CG87-446.jpg</t>
  </si>
  <si>
    <t>Banded  quartzofeldspathic gneiss with magnetite-forming reaction</t>
  </si>
  <si>
    <t>CG87-477</t>
  </si>
  <si>
    <t>CG87-477.1.jpg</t>
  </si>
  <si>
    <t>Composite microgranite-pegmatite with microgranite breaking through dyke wall</t>
  </si>
  <si>
    <t>CG79-346</t>
  </si>
  <si>
    <t>CG79-346.2.jpg</t>
  </si>
  <si>
    <t>Biotite granodiorite gneiss with buckled quartz-feldspar veins</t>
  </si>
  <si>
    <t>CG79-347</t>
  </si>
  <si>
    <t>CG79-347.5.jpg</t>
  </si>
  <si>
    <t>Stag Harbour boat and islands in Smokey area</t>
  </si>
  <si>
    <t>CG79-347.2.jpg</t>
  </si>
  <si>
    <t>Granodiorite gneiss with two periods of folding prior to mafic dyke injection</t>
  </si>
  <si>
    <t>CG80-388</t>
  </si>
  <si>
    <t>CG80-388.jpg</t>
  </si>
  <si>
    <t>Swallow-tailed plagioclase in mafic dyke</t>
  </si>
  <si>
    <t>CG80-389</t>
  </si>
  <si>
    <t>CG80-389.jpg</t>
  </si>
  <si>
    <t>Brittle shear zone and rock sculpture</t>
  </si>
  <si>
    <t>CG04-229</t>
  </si>
  <si>
    <t>CG04-229.1.jpg</t>
  </si>
  <si>
    <t>CG04-229.2.jpg</t>
  </si>
  <si>
    <t>Supposed rotated feldspar</t>
  </si>
  <si>
    <t>CG04-230</t>
  </si>
  <si>
    <t>CG04-230.jpg</t>
  </si>
  <si>
    <t>Magnetite-rich pegmatite boudin showing dextral movement</t>
  </si>
  <si>
    <t>CG79-795</t>
  </si>
  <si>
    <t>CG79-795cropped.jpg</t>
  </si>
  <si>
    <t>Hornblende porphyroblasts in fine-grained rock of possible supracrustal origin</t>
  </si>
  <si>
    <t>Cropped</t>
  </si>
  <si>
    <t>CG79-796.1E.jpg</t>
  </si>
  <si>
    <t>Tonalite/granodiorite gneiss and Michael gabbro</t>
  </si>
  <si>
    <t>CG79-799</t>
  </si>
  <si>
    <t>CG79-799.2cropped.jpg</t>
  </si>
  <si>
    <t>Hornblende porphyroblasts in rocks of possible metasedimentary origin</t>
  </si>
  <si>
    <t>CG87-488.21E.jpg</t>
  </si>
  <si>
    <t>Icebergs at Battle Island</t>
  </si>
  <si>
    <t>CG87-488.23E.jpg</t>
  </si>
  <si>
    <t>CG87-488.24E.jpg</t>
  </si>
  <si>
    <t>Icebergs north of Battle Harbour</t>
  </si>
  <si>
    <t>CG87-488.25E.jpg</t>
  </si>
  <si>
    <t>Battle Harbour from the west</t>
  </si>
  <si>
    <t>CG87-488.26E.jpg</t>
  </si>
  <si>
    <t>VP and JA on Battle Harbour</t>
  </si>
  <si>
    <t>CG87-488.27E.jpg</t>
  </si>
  <si>
    <t>Icebergs near Battle Harbour</t>
  </si>
  <si>
    <t>CG87-488.28E.jpg</t>
  </si>
  <si>
    <t>93-19</t>
  </si>
  <si>
    <t>Battle Harbour</t>
  </si>
  <si>
    <t>CG87-488.31E.jpg</t>
  </si>
  <si>
    <t>Battle Harbour icebergs -2</t>
  </si>
  <si>
    <t>CG87-490</t>
  </si>
  <si>
    <t>CG87-490E.jpg</t>
  </si>
  <si>
    <t>Mafic dyke intruding metasedimentary gneiss</t>
  </si>
  <si>
    <t>CG87-491</t>
  </si>
  <si>
    <t>CG87-491.1E.jpg</t>
  </si>
  <si>
    <t>Interbedded quartzite and calc-silicate gneiss</t>
  </si>
  <si>
    <t>CG87-491.2E.jpg</t>
  </si>
  <si>
    <t>Pegmatite intruding metasedimentary gneiss</t>
  </si>
  <si>
    <t>CG87-492</t>
  </si>
  <si>
    <t>CG87-492.1cropped.jpg</t>
  </si>
  <si>
    <t>Fragmental (volcanoclastic) fabric in rock of supracrustal protolith</t>
  </si>
  <si>
    <t>CG87-502</t>
  </si>
  <si>
    <t>CG87-502.1cropped.jpg</t>
  </si>
  <si>
    <t>Clastic dyke in granitoid gneissic basement</t>
  </si>
  <si>
    <t>CG87-587</t>
  </si>
  <si>
    <t>CG87-587E.jpg</t>
  </si>
  <si>
    <t>Burnover 25 km west southwest of Port Hope Simpson</t>
  </si>
  <si>
    <t>CG87-605</t>
  </si>
  <si>
    <t>CG87-605cropped.jpg</t>
  </si>
  <si>
    <t>CG87-660</t>
  </si>
  <si>
    <t>CG87-660.2cropped.jpg</t>
  </si>
  <si>
    <t>Upper Trout River late- to post-Grenvillian granite; geochron. sample site</t>
  </si>
  <si>
    <t>CG87-661</t>
  </si>
  <si>
    <t>CG87-661E.jpg</t>
  </si>
  <si>
    <t>Long Range? mafic dyke</t>
  </si>
  <si>
    <t>CG87-663</t>
  </si>
  <si>
    <t>CG87-663.1E.jpg</t>
  </si>
  <si>
    <t>JS87-392</t>
  </si>
  <si>
    <t>JS87-392.2E.jpg</t>
  </si>
  <si>
    <t>Biotite granite and amphibolite intruded by pegmatite</t>
  </si>
  <si>
    <t>VN87-108</t>
  </si>
  <si>
    <t>VN87-108.1E.jpg</t>
  </si>
  <si>
    <t>Community of Lodge, from the south</t>
  </si>
  <si>
    <t>VN87-108.2E.jpg</t>
  </si>
  <si>
    <t>Community of Lodge from the west</t>
  </si>
  <si>
    <t>VN87-111</t>
  </si>
  <si>
    <t>VN87-111.2E.jpg</t>
  </si>
  <si>
    <t>Enclaves of quartz diorite in granite</t>
  </si>
  <si>
    <t>VN87-127.1E.jpg</t>
  </si>
  <si>
    <t>Community of Mary's Harbour; from the east</t>
  </si>
  <si>
    <t>VN87-127.2E.jpg</t>
  </si>
  <si>
    <t>RCMP Twin Otter at Mary's Harbour</t>
  </si>
  <si>
    <t>VN87-127.3E.jpg</t>
  </si>
  <si>
    <t>Small lake aircraft at Mary's Harbour</t>
  </si>
  <si>
    <t>VN87-434</t>
  </si>
  <si>
    <t>VN87-434E.jpg</t>
  </si>
  <si>
    <t>Gently folded interlayered granite, granodiorite and amphibolite</t>
  </si>
  <si>
    <t>VN87-447.2E.jpg</t>
  </si>
  <si>
    <t>Concordant amphibolite dyke intruding foliated granite</t>
  </si>
  <si>
    <t>VN87-460</t>
  </si>
  <si>
    <t>VN87-460E.jpg</t>
  </si>
  <si>
    <t>Fox Harbour; wharf and settlement</t>
  </si>
  <si>
    <t>CG99-012</t>
  </si>
  <si>
    <t>CG99-012.jpg</t>
  </si>
  <si>
    <t>Monzonite texture</t>
  </si>
  <si>
    <t>GM85-473</t>
  </si>
  <si>
    <t>GM85-473.1.jpg</t>
  </si>
  <si>
    <t>Laminated quartzite</t>
  </si>
  <si>
    <t>NN84-145.1.jpg</t>
  </si>
  <si>
    <t>Banded amphibolitic and granodioritic gneiss; CO</t>
  </si>
  <si>
    <t>NN84-147</t>
  </si>
  <si>
    <t>NN84-147.1.jpg</t>
  </si>
  <si>
    <t>Tight to isoclinal folded granitic veins in amphibolite</t>
  </si>
  <si>
    <t>NN84-147.2.jpg</t>
  </si>
  <si>
    <t>CG87-568.4.jpg</t>
  </si>
  <si>
    <t>RG80-104.2.jpg</t>
  </si>
  <si>
    <t>Marble containing isoclinally folded amphibolite and pegmatite</t>
  </si>
  <si>
    <t>CG79-367</t>
  </si>
  <si>
    <t>CG79-367.2.jpg</t>
  </si>
  <si>
    <t>Mafic dykes intruded into tonalitic/granodioritic gneiss; RB and BC</t>
  </si>
  <si>
    <t>CG97-161.4.jpg</t>
  </si>
  <si>
    <t>Folded quartzite</t>
  </si>
  <si>
    <t>VN91-103.3.jpg</t>
  </si>
  <si>
    <t>Amphibolite/diorite enclave in granodiorite gneiss</t>
  </si>
  <si>
    <t>CG07-173.1.jpg</t>
  </si>
  <si>
    <t>VN91-016</t>
  </si>
  <si>
    <t>VN91-016.jpg</t>
  </si>
  <si>
    <t>K-feldspar megacrystic biotite (augen) granite</t>
  </si>
  <si>
    <t>VN87-393</t>
  </si>
  <si>
    <t>VN87-393.5.jpg</t>
  </si>
  <si>
    <t>Intercalated calc-silicate (epidote garnet diopside) gneiss and quartzite intruded by pegmatite</t>
  </si>
  <si>
    <t>VN87-393.3.jpg</t>
  </si>
  <si>
    <t>VN87-393.4.jpg</t>
  </si>
  <si>
    <t>VN87-395</t>
  </si>
  <si>
    <t>VN87-395.jpg</t>
  </si>
  <si>
    <t>Strongly foliated to gneissic amphibolite</t>
  </si>
  <si>
    <t>VN87-396</t>
  </si>
  <si>
    <t>VN87-396.jpg</t>
  </si>
  <si>
    <t>Granitic dyke intruding coarse-grained biotite hornblende granite</t>
  </si>
  <si>
    <t>VN87-398</t>
  </si>
  <si>
    <t>VN87-398.2.jpg</t>
  </si>
  <si>
    <t>Fine-grained granite dyke intruding biotite hornblende granite</t>
  </si>
  <si>
    <t>VN87-398.1.jpg</t>
  </si>
  <si>
    <t>Gneissic granite enclave in fine-grained granitic dyke</t>
  </si>
  <si>
    <t>VN91-108.5.jpg</t>
  </si>
  <si>
    <t>Garnetiferous quartz-rich zone within supracrustal unit</t>
  </si>
  <si>
    <t>VN85-605</t>
  </si>
  <si>
    <t>VN85-605.2.jpg</t>
  </si>
  <si>
    <t>VN85-605.3.jpg</t>
  </si>
  <si>
    <t>CG99-050.2.jpg</t>
  </si>
  <si>
    <t>Quartz monzonite/granodiorite sampled for geochronology</t>
  </si>
  <si>
    <t>CG86-088.10.jpg</t>
  </si>
  <si>
    <t>Port Hope Simpson 2</t>
  </si>
  <si>
    <t>CG97-249.2.jpg</t>
  </si>
  <si>
    <t>CG97-252</t>
  </si>
  <si>
    <t>CG97-252.3.jpg</t>
  </si>
  <si>
    <t>Outcrop north of CG97-252 2</t>
  </si>
  <si>
    <t>CG97-252.2.jpg</t>
  </si>
  <si>
    <t>Outcrop north of CG97-252 1</t>
  </si>
  <si>
    <t>SN86-341</t>
  </si>
  <si>
    <t>SN86-341.jpg</t>
  </si>
  <si>
    <t>Garnet-rich amphibolite</t>
  </si>
  <si>
    <t>CG85-614</t>
  </si>
  <si>
    <t>CG85-614.2.jpg</t>
  </si>
  <si>
    <t>Tectonized contact between K-feldspar megacrystic granodiorite/granite</t>
  </si>
  <si>
    <t>CG85-614.3.jpg</t>
  </si>
  <si>
    <t>Strongly deformed K-rich granite</t>
  </si>
  <si>
    <t>CG85-617</t>
  </si>
  <si>
    <t>CG85-617.1.jpg</t>
  </si>
  <si>
    <t>Foliated and folded coarse-grained amphibolite</t>
  </si>
  <si>
    <t>NN84-053.3.jpg</t>
  </si>
  <si>
    <t>Dextral kinematic indication from K-feldspar porphyroclast</t>
  </si>
  <si>
    <t>NN84-057.2.jpg</t>
  </si>
  <si>
    <t>CG87-488.15.jpg</t>
  </si>
  <si>
    <t>CG84-436.01.jpg</t>
  </si>
  <si>
    <t>Quartz diorite; geochron. sample site</t>
  </si>
  <si>
    <t>CG95-228.2.jpg</t>
  </si>
  <si>
    <t>RG80-021</t>
  </si>
  <si>
    <t>RG80-021.jpg</t>
  </si>
  <si>
    <t>RG80-024</t>
  </si>
  <si>
    <t>RG80-024.2.jpg</t>
  </si>
  <si>
    <t>Well-banded granodiorite/tonalite gneiss</t>
  </si>
  <si>
    <t>RG80-024.1.jpg</t>
  </si>
  <si>
    <t>Garnet-enriched rim around amphibolite in K-feldspar megacrystic granodiorite</t>
  </si>
  <si>
    <t>VO81-579.4.jpg</t>
  </si>
  <si>
    <t>Fine-grained granodiorite dyke intruding migmatitic granodiorite</t>
  </si>
  <si>
    <t>CG81-433</t>
  </si>
  <si>
    <t>CG81-433.jpg</t>
  </si>
  <si>
    <t>Enclave of older granite in Table Bay alkali-feldspar granite</t>
  </si>
  <si>
    <t>CG81-436</t>
  </si>
  <si>
    <t>CG81-436.2.jpg</t>
  </si>
  <si>
    <t>Burnt tuckamore 2 (location uncertain)</t>
  </si>
  <si>
    <t>CG81-436.1.jpg</t>
  </si>
  <si>
    <t>Burnt tuckamore 1 (location uncertain)</t>
  </si>
  <si>
    <t>CG81-445</t>
  </si>
  <si>
    <t>CG81-445.jpg</t>
  </si>
  <si>
    <t>Fine-grained biotite tonalite to granodiorite gneiss; overturned to north</t>
  </si>
  <si>
    <t>CG81-448</t>
  </si>
  <si>
    <t>CG81-448.jpg</t>
  </si>
  <si>
    <t>Fine-grained biotite tonalite to granodiorite gneiss; refolded</t>
  </si>
  <si>
    <t>CG04-054.3.jpg</t>
  </si>
  <si>
    <t>CG85-529</t>
  </si>
  <si>
    <t>CG85-529.2.jpg</t>
  </si>
  <si>
    <t>Hornblende quartz diorite intruded by mafic dyke then strongly deformed</t>
  </si>
  <si>
    <t>CG85-531</t>
  </si>
  <si>
    <t>CG85-531.jpg</t>
  </si>
  <si>
    <t>Granite veins intruding quartz diorite</t>
  </si>
  <si>
    <t>CG85-532.2.jpg</t>
  </si>
  <si>
    <t>Granite; geochron. sample site</t>
  </si>
  <si>
    <t>MC77-132</t>
  </si>
  <si>
    <t>MC77-132.jpg</t>
  </si>
  <si>
    <t>AL78-276</t>
  </si>
  <si>
    <t>AL78-276.jpg</t>
  </si>
  <si>
    <t>Contact between Benedict granite and quartzite xenolith</t>
  </si>
  <si>
    <t>AL78-280</t>
  </si>
  <si>
    <t>AL78-280.1.jpg</t>
  </si>
  <si>
    <t>Augen fabric in Benedict granite</t>
  </si>
  <si>
    <t>AL78-280.2.jpg</t>
  </si>
  <si>
    <t>Quartzofeldspathic xenolith in granite</t>
  </si>
  <si>
    <t>AL78-284</t>
  </si>
  <si>
    <t>AL78-284.2.jpg</t>
  </si>
  <si>
    <t>Xenolith of Aillik Group in granite</t>
  </si>
  <si>
    <t>AL78-284.3.jpg</t>
  </si>
  <si>
    <t>Disrupted mafic dyke in granite</t>
  </si>
  <si>
    <t>NN80-020.1.jpg</t>
  </si>
  <si>
    <t>Dextral displacement along shear surface</t>
  </si>
  <si>
    <t>VN95-152</t>
  </si>
  <si>
    <t>VN95-152.1.jpg</t>
  </si>
  <si>
    <t>Coarse-grained K-feldspar megacrystic monzonite</t>
  </si>
  <si>
    <t>VN95-152.2.jpg</t>
  </si>
  <si>
    <t>VN95-154</t>
  </si>
  <si>
    <t>VN95-154.1.jpg</t>
  </si>
  <si>
    <t>MN86-320</t>
  </si>
  <si>
    <t>MN86-320.jpg</t>
  </si>
  <si>
    <t>K-feldspar megacrystic granodiorite with enclave of metagabbro</t>
  </si>
  <si>
    <t>CG84-442</t>
  </si>
  <si>
    <t>CG84-442.2.jpg</t>
  </si>
  <si>
    <t>84-19</t>
  </si>
  <si>
    <t>Dextrally rotated K-feldspar porphyroclast</t>
  </si>
  <si>
    <t>CG84-442.7.jpg</t>
  </si>
  <si>
    <t>Ultramylonite</t>
  </si>
  <si>
    <t>CG80-135</t>
  </si>
  <si>
    <t>CG80-135.jpg</t>
  </si>
  <si>
    <t>Gneissic quartz diorite discordantly intruded by pegmatite, somewhat altered</t>
  </si>
  <si>
    <t>VN91-151</t>
  </si>
  <si>
    <t>VN91-151.1.jpg</t>
  </si>
  <si>
    <t>Layering in metagabbro</t>
  </si>
  <si>
    <t>CG85-590</t>
  </si>
  <si>
    <t>CG85-590.2.jpg</t>
  </si>
  <si>
    <t>Agmatized gabbro with blocks of hornblendite in a monzonitic veining material</t>
  </si>
  <si>
    <t>CG04-286.05.jpg</t>
  </si>
  <si>
    <t>Paradise River  (1984)</t>
  </si>
  <si>
    <t>CG04-286.06.jpg</t>
  </si>
  <si>
    <t>Paradise River (1984)</t>
  </si>
  <si>
    <t>CG04-286.16.jpg</t>
  </si>
  <si>
    <t>84-06</t>
  </si>
  <si>
    <t>CG04-286.15.jpg</t>
  </si>
  <si>
    <t>Paradise River settlement  (1984)</t>
  </si>
  <si>
    <t>CG04-286.14.jpg</t>
  </si>
  <si>
    <t>CG04-286.13.jpg</t>
  </si>
  <si>
    <t>Paradise River at sunset 2 (1984)</t>
  </si>
  <si>
    <t>CG04-286.17.jpg</t>
  </si>
  <si>
    <t>S and HL in Paradise River (1985)</t>
  </si>
  <si>
    <t>CG04-286.23.jpg</t>
  </si>
  <si>
    <t>Community of Paradise River (1985)</t>
  </si>
  <si>
    <t>CG04-286.18.jpg</t>
  </si>
  <si>
    <t>BL, SL and LC (1985)</t>
  </si>
  <si>
    <t>CG04-286.22.jpg</t>
  </si>
  <si>
    <t>Tents in Paradise River (1985)</t>
  </si>
  <si>
    <t>CG04-028</t>
  </si>
  <si>
    <t>CG04-028.1.jpg</t>
  </si>
  <si>
    <t>CG04-031</t>
  </si>
  <si>
    <t>CG04-031.1.jpg</t>
  </si>
  <si>
    <t>Mylonitic pelitic gneiss</t>
  </si>
  <si>
    <t>CG04-031.2.jpg</t>
  </si>
  <si>
    <t>CG84-111</t>
  </si>
  <si>
    <t>CG84-111.1.jpg</t>
  </si>
  <si>
    <t>Well-banded granitic gneiss with K-feldspar metasomatised amphibolite</t>
  </si>
  <si>
    <t>CG93-026.2.jpg</t>
  </si>
  <si>
    <t>VN87-337</t>
  </si>
  <si>
    <t>VN87-337.jpg</t>
  </si>
  <si>
    <t>Strongly foliated megacrystic granite, pegmatite veins and amphibolite dykes</t>
  </si>
  <si>
    <t>VN87-338.3.jpg</t>
  </si>
  <si>
    <t>VN87-338.1.jpg</t>
  </si>
  <si>
    <t>Leucocratic megacrystic granite intruded by melanocratic megacrystic granite</t>
  </si>
  <si>
    <t>CG84-435</t>
  </si>
  <si>
    <t>CG84-435.01.jpg</t>
  </si>
  <si>
    <t>Diatexitic metasedimentary gneiss with remnants of paleosome</t>
  </si>
  <si>
    <t>NN80-350</t>
  </si>
  <si>
    <t>NN80-350.2.jpg</t>
  </si>
  <si>
    <t>80-16</t>
  </si>
  <si>
    <t>SEP 80V3</t>
  </si>
  <si>
    <t>Double Mer neptunian (clastic) dyke</t>
  </si>
  <si>
    <t>NN80-351</t>
  </si>
  <si>
    <t>NN80-351.1.jpg</t>
  </si>
  <si>
    <t>CG81-081.1.jpg</t>
  </si>
  <si>
    <t>CG81-081.4.jpg</t>
  </si>
  <si>
    <t>CG81-081.5.jpg</t>
  </si>
  <si>
    <t>CG81-084</t>
  </si>
  <si>
    <t>CG81-084.jpg</t>
  </si>
  <si>
    <t>Fault brecciated amphibolite</t>
  </si>
  <si>
    <t>CG81-086</t>
  </si>
  <si>
    <t>CG81-086.jpg</t>
  </si>
  <si>
    <t>Earl Island diorite intruded by fine-grained amphibolite and pegmatite</t>
  </si>
  <si>
    <t>CG81-087</t>
  </si>
  <si>
    <t>CG81-087.jpg</t>
  </si>
  <si>
    <t>Earl Island monzodiorite intruded by amphibolite dyke</t>
  </si>
  <si>
    <t>CG81-088</t>
  </si>
  <si>
    <t>CG81-088.jpg</t>
  </si>
  <si>
    <t>Earl Island monzodiorite intruded by amphibolite dyke then pegmatite</t>
  </si>
  <si>
    <t>CG81-109</t>
  </si>
  <si>
    <t>CG81-109.jpg</t>
  </si>
  <si>
    <t>GW on traverse in Sandwich Bay Mealy Mountains</t>
  </si>
  <si>
    <t>VN91-416</t>
  </si>
  <si>
    <t>VN91-416.2.jpg</t>
  </si>
  <si>
    <t>Strongly foliated hornblende clinopyroxene biotite syenite</t>
  </si>
  <si>
    <t>MC77-243.2.jpg</t>
  </si>
  <si>
    <t>VN91-068</t>
  </si>
  <si>
    <t>VN91-068.3.jpg</t>
  </si>
  <si>
    <t>Anorthosite intruded by discordant quartz-rich pegmatite</t>
  </si>
  <si>
    <t>SN86-269</t>
  </si>
  <si>
    <t>SN86-269.2.jpg</t>
  </si>
  <si>
    <t>86-20</t>
  </si>
  <si>
    <t>Muscovite-rich metasedimentary gneiss</t>
  </si>
  <si>
    <t>CG86-114.1.jpg</t>
  </si>
  <si>
    <t>AD79-096</t>
  </si>
  <si>
    <t>AD79-096.3.jpg</t>
  </si>
  <si>
    <t>Small scale flow fold in strongly foliated granite</t>
  </si>
  <si>
    <t>AD79-096.1.jpg</t>
  </si>
  <si>
    <t>Porphyry dyke showing multiple injection features</t>
  </si>
  <si>
    <t>AD79-096.2.jpg</t>
  </si>
  <si>
    <t>AD79-103</t>
  </si>
  <si>
    <t>AD79-103.jpg</t>
  </si>
  <si>
    <t>Granite - fine-grained granite hybrid mixture</t>
  </si>
  <si>
    <t>CG86-529</t>
  </si>
  <si>
    <t>CG86-529.1.jpg</t>
  </si>
  <si>
    <t>Mafic dyke intruding banded amphibolite</t>
  </si>
  <si>
    <t>CG86-544</t>
  </si>
  <si>
    <t>CG86-544.1.jpg</t>
  </si>
  <si>
    <t>Banded amphibolite intruded by remobilized metasedimentary gneiss</t>
  </si>
  <si>
    <t>GM85-682</t>
  </si>
  <si>
    <t>GM85-682.1.jpg</t>
  </si>
  <si>
    <t>Contact between granodiorite and enclave-rich diorite</t>
  </si>
  <si>
    <t>GM85-682.2.jpg</t>
  </si>
  <si>
    <t>Amphibolite enclave in quartz diorite intruded by granodiorite</t>
  </si>
  <si>
    <t>VN85-604.2.jpg</t>
  </si>
  <si>
    <t>NN84-032.3.jpg</t>
  </si>
  <si>
    <t>Amphibolite enclave in granodiorite marginal to anorthosite</t>
  </si>
  <si>
    <t>GF81-394</t>
  </si>
  <si>
    <t>GF81-394.3.jpg</t>
  </si>
  <si>
    <t>Enclave of Hare Harbour tonalite/granodiorite gneiss in granite</t>
  </si>
  <si>
    <t>GF81-394.2.jpg</t>
  </si>
  <si>
    <t>GF81-394.1.jpg</t>
  </si>
  <si>
    <t>CG07-151</t>
  </si>
  <si>
    <t>CG07-151.jpg</t>
  </si>
  <si>
    <t>Amphibolite (light) with concordant pegmatite</t>
  </si>
  <si>
    <t>CG07-152</t>
  </si>
  <si>
    <t>CG07-152.jpg</t>
  </si>
  <si>
    <t>Amphibolite (light) with fabric distortions</t>
  </si>
  <si>
    <t>CG07-153</t>
  </si>
  <si>
    <t>CG07-153.1.jpg</t>
  </si>
  <si>
    <t>Amphibolite (light) and mixed unit contact</t>
  </si>
  <si>
    <t>CG07-153.2.jpg</t>
  </si>
  <si>
    <t>CG07-154</t>
  </si>
  <si>
    <t>CG07-154.jpg</t>
  </si>
  <si>
    <t>Small fault with sinistral offset</t>
  </si>
  <si>
    <t>VN91-070</t>
  </si>
  <si>
    <t>VN91-070.2.jpg</t>
  </si>
  <si>
    <t>Symmetrical fold in hornblende biotite diorite gneiss</t>
  </si>
  <si>
    <t>VN91-070.1.jpg</t>
  </si>
  <si>
    <t>Well-banded hornblende biotite diorite gneiss</t>
  </si>
  <si>
    <t>VN91-076</t>
  </si>
  <si>
    <t>VN91-076.jpg</t>
  </si>
  <si>
    <t>VN91-077</t>
  </si>
  <si>
    <t>VN91-077.jpg</t>
  </si>
  <si>
    <t>Strongly foliated 'pseudo' megacrystic biotite granite</t>
  </si>
  <si>
    <t>VN91-078.5.jpg</t>
  </si>
  <si>
    <t>Metagabbro</t>
  </si>
  <si>
    <t>CG86-156.1.jpg</t>
  </si>
  <si>
    <t>K-feldspar megacrystic granodiorite intruded by mafic dyke then pegmatite</t>
  </si>
  <si>
    <t>CG81-187</t>
  </si>
  <si>
    <t>CG81-187.2.jpg</t>
  </si>
  <si>
    <t>Gossan zone in diatexite</t>
  </si>
  <si>
    <t>CG04-066</t>
  </si>
  <si>
    <t>CG04-066.jpg</t>
  </si>
  <si>
    <t>Cut logs; 162 rings on one log</t>
  </si>
  <si>
    <t>CG04-081</t>
  </si>
  <si>
    <t>CG04-081.jpg</t>
  </si>
  <si>
    <t>Gabbro/leucogabbro (meta)</t>
  </si>
  <si>
    <t>CG04-085</t>
  </si>
  <si>
    <t>CG04-085.jpg</t>
  </si>
  <si>
    <t>Shear sense indicator; southwest (right) -side-up</t>
  </si>
  <si>
    <t>CG04-090</t>
  </si>
  <si>
    <t>CG04-090.1.jpg</t>
  </si>
  <si>
    <t>Shear sense indicator; northeast (left)-side-up</t>
  </si>
  <si>
    <t>NN84-105</t>
  </si>
  <si>
    <t>NN84-105.3.jpg</t>
  </si>
  <si>
    <t>Texture in recrystallized Alexis River anorthosite</t>
  </si>
  <si>
    <t>NN84-105.4.jpg</t>
  </si>
  <si>
    <t>CG93-268.4.jpg</t>
  </si>
  <si>
    <t>Banded quartzofeldspathic rocks of probable supracrustal origin</t>
  </si>
  <si>
    <t>MC77-153</t>
  </si>
  <si>
    <t>MC77-153.jpg</t>
  </si>
  <si>
    <t>Anorthosite in float</t>
  </si>
  <si>
    <t>MC77-196</t>
  </si>
  <si>
    <t>MC77-196.1.jpg</t>
  </si>
  <si>
    <t>MC77-196.3.jpg</t>
  </si>
  <si>
    <t>MC77-196.2.jpg</t>
  </si>
  <si>
    <t>MC77-197</t>
  </si>
  <si>
    <t>MC77-197.2.jpg</t>
  </si>
  <si>
    <t>MC77-197.3.jpg</t>
  </si>
  <si>
    <t>Well-banded to mylonitic granitic and amphibolitic gneiss</t>
  </si>
  <si>
    <t>MC77-197.1.jpg</t>
  </si>
  <si>
    <t>Mylonitic granite</t>
  </si>
  <si>
    <t>MC77-199</t>
  </si>
  <si>
    <t>MC77-199.jpg</t>
  </si>
  <si>
    <t>MC77-201</t>
  </si>
  <si>
    <t>MC77-201.jpg</t>
  </si>
  <si>
    <t>CG11-001.7</t>
  </si>
  <si>
    <t>CG11-001.7.jpg</t>
  </si>
  <si>
    <t>CG11-001.8</t>
  </si>
  <si>
    <t>CG11-001.8.jpg</t>
  </si>
  <si>
    <t>VN93-662.11.jpg</t>
  </si>
  <si>
    <t>Sliver of supracrustal gneiss in York Point granite</t>
  </si>
  <si>
    <t>CG87-648</t>
  </si>
  <si>
    <t>CG87-648.jpg</t>
  </si>
  <si>
    <t>Community of Grady Island</t>
  </si>
  <si>
    <t>AD79-003.4.jpg</t>
  </si>
  <si>
    <t>Brecciated and disrupted mafic dyke in deformed microgranite</t>
  </si>
  <si>
    <t>AD79-003.3.jpg</t>
  </si>
  <si>
    <t>Dykes intruding well-foliated Aillik volcanic rocks</t>
  </si>
  <si>
    <t>CG86-035</t>
  </si>
  <si>
    <t>CG86-035.jpg</t>
  </si>
  <si>
    <t>Deformed anorthosite intruded by mafic dyke</t>
  </si>
  <si>
    <t>CG97-252.1.jpg</t>
  </si>
  <si>
    <t>Seriate to megacrystic late- to post-Grenvillian granite</t>
  </si>
  <si>
    <t>CG97-269</t>
  </si>
  <si>
    <t>CG97-269.1.jpg</t>
  </si>
  <si>
    <t>Folded granitic gneiss</t>
  </si>
  <si>
    <t>VN95-162</t>
  </si>
  <si>
    <t>VN95-162.jpg</t>
  </si>
  <si>
    <t>Strongly foliated quartz monzonite to granite</t>
  </si>
  <si>
    <t>VN95-173.4.jpg</t>
  </si>
  <si>
    <t>VN91-105</t>
  </si>
  <si>
    <t>VN91-105.1.jpg</t>
  </si>
  <si>
    <t>Banding in biotite sillimanite muscovite metasedimentary gneiss</t>
  </si>
  <si>
    <t>VN91-105.2.jpg</t>
  </si>
  <si>
    <t>Biotite sillimanite muscovite 'knot' in metasedimentary gneiss</t>
  </si>
  <si>
    <t>VN91-106.2.jpg</t>
  </si>
  <si>
    <t>Open fold in rock of possible volcanic protolith</t>
  </si>
  <si>
    <t>VN91-068.2.jpg</t>
  </si>
  <si>
    <t>Fabric in meta-anorthosite</t>
  </si>
  <si>
    <t>CG97-269.2.jpg</t>
  </si>
  <si>
    <t>VO81-539</t>
  </si>
  <si>
    <t>VO81-539.4.jpg</t>
  </si>
  <si>
    <t>81-16</t>
  </si>
  <si>
    <t>VO81-539.2.jpg</t>
  </si>
  <si>
    <t>Foliated granodiorite</t>
  </si>
  <si>
    <t>VN91-424.6.jpg</t>
  </si>
  <si>
    <t>Melagabbro intruded by anorthosite veins</t>
  </si>
  <si>
    <t>VN91-424.7.jpg</t>
  </si>
  <si>
    <t>Plagioclase-rich veins intruding gabbro</t>
  </si>
  <si>
    <t>VN91-431</t>
  </si>
  <si>
    <t>VN91-431.6.jpg</t>
  </si>
  <si>
    <t>91-20</t>
  </si>
  <si>
    <t>NOV 91E</t>
  </si>
  <si>
    <t>Isoclinally folded granodiorite gneiss</t>
  </si>
  <si>
    <t>VN91-431.5.jpg</t>
  </si>
  <si>
    <t>Fluor apatite crystals in leucogranite segregations</t>
  </si>
  <si>
    <t>VN91-431.4.jpg</t>
  </si>
  <si>
    <t>VN91-431.2.jpg</t>
  </si>
  <si>
    <t>Deformed pegmatite in metasedimentary gneiss</t>
  </si>
  <si>
    <t>MC77-238</t>
  </si>
  <si>
    <t>MC77-238.3.jpg</t>
  </si>
  <si>
    <t>Reaction at margin of pegmatite intruding gabbro</t>
  </si>
  <si>
    <t>MC77-239</t>
  </si>
  <si>
    <t>MC77-239.2.jpg</t>
  </si>
  <si>
    <t>MC77-239.1.jpg</t>
  </si>
  <si>
    <t>Tonalitic gneiss</t>
  </si>
  <si>
    <t>MC77-240</t>
  </si>
  <si>
    <t>MC77-240.2.jpg</t>
  </si>
  <si>
    <t>MC77-240.1.jpg</t>
  </si>
  <si>
    <t>Mylonitic tonalitic gneiss</t>
  </si>
  <si>
    <t>CG85-472</t>
  </si>
  <si>
    <t>CG85-472.3.jpg</t>
  </si>
  <si>
    <t>CG86-199.1.jpg</t>
  </si>
  <si>
    <t>GM85-476.2.jpg</t>
  </si>
  <si>
    <t>GM85-476.6.jpg</t>
  </si>
  <si>
    <t>Fine-grained biotite granodiorite with quartzofeldspathic veins</t>
  </si>
  <si>
    <t>GM85-479</t>
  </si>
  <si>
    <t>GM85-479.2.jpg</t>
  </si>
  <si>
    <t>Metasedimentary gneiss enclaves in biotite granodiorite</t>
  </si>
  <si>
    <t>GM85-479.3.jpg</t>
  </si>
  <si>
    <t>VN92-070.5.jpg</t>
  </si>
  <si>
    <t>Amphibolite dyke intruded by pegmatite</t>
  </si>
  <si>
    <t>MC77-080.2.jpg</t>
  </si>
  <si>
    <t>Granitic pegmatite intruding amphibolitic gneiss</t>
  </si>
  <si>
    <t>MC77-080.3.jpg</t>
  </si>
  <si>
    <t>VO81-569</t>
  </si>
  <si>
    <t>VO81-569.2.jpg</t>
  </si>
  <si>
    <t>Quartz diorite gneiss</t>
  </si>
  <si>
    <t>CG79-308</t>
  </si>
  <si>
    <t>CG79-308.jpg</t>
  </si>
  <si>
    <t>Foliated to gneissic biotite granodiorite intruded by mafic dyke</t>
  </si>
  <si>
    <t>CG84-435.08.jpg</t>
  </si>
  <si>
    <t>CG84-435.07.jpg</t>
  </si>
  <si>
    <t>DD91-108.1.jpg</t>
  </si>
  <si>
    <t>Boudinaged pegmatite in gneiss</t>
  </si>
  <si>
    <t>CG79-038.1.jpg</t>
  </si>
  <si>
    <t>CG80-284</t>
  </si>
  <si>
    <t>CG80-284.jpg</t>
  </si>
  <si>
    <t>Migmatization at metagabbro/gneiss contact</t>
  </si>
  <si>
    <t>CG80-286</t>
  </si>
  <si>
    <t>CG80-286.jpg</t>
  </si>
  <si>
    <t>Mafic dyke truncated by shallow-dipping fault</t>
  </si>
  <si>
    <t>CG80-288</t>
  </si>
  <si>
    <t>CG80-288.jpg</t>
  </si>
  <si>
    <t>Granodiorite with straight gneiss (mylonitic) zones</t>
  </si>
  <si>
    <t>RG80-069</t>
  </si>
  <si>
    <t>RG80-069.1.jpg</t>
  </si>
  <si>
    <t>Tonalite to granodiorite gneiss</t>
  </si>
  <si>
    <t>RG80-070</t>
  </si>
  <si>
    <t>RG80-070.jpg</t>
  </si>
  <si>
    <t>VN85-420</t>
  </si>
  <si>
    <t>VN85-420.1.jpg</t>
  </si>
  <si>
    <t>Boudinage in gabbro</t>
  </si>
  <si>
    <t>VN85-420.2.jpg</t>
  </si>
  <si>
    <t>NN80-148</t>
  </si>
  <si>
    <t>NN80-148.3.jpg</t>
  </si>
  <si>
    <t>Double Mer Formation neptunian (clastic) dyke</t>
  </si>
  <si>
    <t>NN80-149</t>
  </si>
  <si>
    <t>NN80-149.jpg</t>
  </si>
  <si>
    <t>NN80-155</t>
  </si>
  <si>
    <t>NN80-155.1.jpg</t>
  </si>
  <si>
    <t>Dextral transposition in leucosome segregations in hornblende granodiorite</t>
  </si>
  <si>
    <t>VN93-048</t>
  </si>
  <si>
    <t>VN93-048.7.jpg</t>
  </si>
  <si>
    <t>Granodiorite gneiss in contact with amphibolite</t>
  </si>
  <si>
    <t>GM85-584</t>
  </si>
  <si>
    <t>GM85-584.1.jpg</t>
  </si>
  <si>
    <t>Enclave-rich hornblende quartz diorite</t>
  </si>
  <si>
    <t>GM85-584.2.jpg</t>
  </si>
  <si>
    <t>GM85-590</t>
  </si>
  <si>
    <t>GM85-590.1.jpg</t>
  </si>
  <si>
    <t>CG81-130</t>
  </si>
  <si>
    <t>CG81-130.2.jpg</t>
  </si>
  <si>
    <t>Net-veined mafic dyke intruding well-banded gneisses</t>
  </si>
  <si>
    <t>CG81-130.1.jpg</t>
  </si>
  <si>
    <t>Typical banded amphibolitic gneiss</t>
  </si>
  <si>
    <t>CG81-146</t>
  </si>
  <si>
    <t>CG81-146.3.jpg</t>
  </si>
  <si>
    <t>84-20</t>
  </si>
  <si>
    <t>No identity; from Tubrett</t>
  </si>
  <si>
    <t>Fresh diabase dyke - Devonian</t>
  </si>
  <si>
    <t>VO81-573</t>
  </si>
  <si>
    <t>VO81-573.2.jpg</t>
  </si>
  <si>
    <t>Dextrally rotated porphyroclast in Hare Island granodiorite</t>
  </si>
  <si>
    <t>VO81-573.1.jpg</t>
  </si>
  <si>
    <t>Migmatitic Hare Harbour granodiorite/tonalite gneiss</t>
  </si>
  <si>
    <t>VO81-577</t>
  </si>
  <si>
    <t>VO81-577.jpg</t>
  </si>
  <si>
    <t>Contact between Hare Harbour granodiorite/tonalite and Hare Harbour quartz diorite</t>
  </si>
  <si>
    <t>VO81-578</t>
  </si>
  <si>
    <t>VO81-578.jpg</t>
  </si>
  <si>
    <t>Fine-grained granodiorite dyke intruding Hare Island quartz diorite</t>
  </si>
  <si>
    <t>VN91-124</t>
  </si>
  <si>
    <t>VN91-124.1.jpg</t>
  </si>
  <si>
    <t>K-feldspar megacrystic quartz monzonite to quartz diorite</t>
  </si>
  <si>
    <t>CG79-367.5.jpg</t>
  </si>
  <si>
    <t>Deformed mafic dykes in tonalite/granodiorite gneiss</t>
  </si>
  <si>
    <t>CG79-367.4.jpg</t>
  </si>
  <si>
    <t>Two phases of mafic dykes intruding tonalite/granodiorite gneiss</t>
  </si>
  <si>
    <t>CG79-367.3.jpg</t>
  </si>
  <si>
    <t>Deformed mafic dyke in tonalite/granodiorite gneiss</t>
  </si>
  <si>
    <t>CG79-367.6.jpg</t>
  </si>
  <si>
    <t>Deformed microgranite intruding mafic dykes</t>
  </si>
  <si>
    <t>CG79-367.1.jpg</t>
  </si>
  <si>
    <t>Isoclinal folding in tonalite/granodiorite gneiss</t>
  </si>
  <si>
    <t>VN92-137</t>
  </si>
  <si>
    <t>VN92-137.1.jpg</t>
  </si>
  <si>
    <t>Weakly foliated coarse=grained granite</t>
  </si>
  <si>
    <t>VN92-137.2.jpg</t>
  </si>
  <si>
    <t>Contact between fine- and coarse-grained granite</t>
  </si>
  <si>
    <t>CG79-140</t>
  </si>
  <si>
    <t>CG79-140.jpg</t>
  </si>
  <si>
    <t>Rafts of fine-grained felsic rock in hornblende-bearing granitoid</t>
  </si>
  <si>
    <t>CG07-145</t>
  </si>
  <si>
    <t>CG07-145.2.jpg</t>
  </si>
  <si>
    <t>Bakeapples</t>
  </si>
  <si>
    <t>CG07-146.1.jpg</t>
  </si>
  <si>
    <t>Psammite - calc-silicate/amphibolitic rock contact</t>
  </si>
  <si>
    <t>NN80-058.5.jpg</t>
  </si>
  <si>
    <t>Mafic dyke in tonalite/granodiorite gneiss</t>
  </si>
  <si>
    <t>CG84-420</t>
  </si>
  <si>
    <t>CG84-420.jpg</t>
  </si>
  <si>
    <t>Metasedimentary gneiss intruded by mafic dyke, now isoclinally folded</t>
  </si>
  <si>
    <t>MC77-247</t>
  </si>
  <si>
    <t>MC77-247.3.jpg</t>
  </si>
  <si>
    <t>Deformed K-feldspar megacrystic granodiorite</t>
  </si>
  <si>
    <t>GM85-516</t>
  </si>
  <si>
    <t>GM85-516.6.jpg</t>
  </si>
  <si>
    <t>85-12</t>
  </si>
  <si>
    <t>GM85-516.4.jpg</t>
  </si>
  <si>
    <t>Syenite/granite intruding gneissic granodiorite; BL</t>
  </si>
  <si>
    <t>AL78-035</t>
  </si>
  <si>
    <t>AL78-035.jpg</t>
  </si>
  <si>
    <t>Contact between Benedict-type granite and mafic K-feldspar megacrystic granite</t>
  </si>
  <si>
    <t>AL78-036</t>
  </si>
  <si>
    <t>AL78-036.jpg</t>
  </si>
  <si>
    <t>Gabbro xenolith being absorbed by Benedict-type granite</t>
  </si>
  <si>
    <t>CG79-789</t>
  </si>
  <si>
    <t>CG79-789.3.jpg</t>
  </si>
  <si>
    <t>Fold interference patterns in tonalite/granodiorite gneiss</t>
  </si>
  <si>
    <t>CG79-789.1.jpg</t>
  </si>
  <si>
    <t>VO81-539.3.jpg</t>
  </si>
  <si>
    <t>VO81-539.1.jpg</t>
  </si>
  <si>
    <t>VO81-131.1.jpg</t>
  </si>
  <si>
    <t>CG84-091</t>
  </si>
  <si>
    <t>CG84-091.jpg</t>
  </si>
  <si>
    <t>Gossanous metasedimentary gneiss, with JB</t>
  </si>
  <si>
    <t>CG84-100</t>
  </si>
  <si>
    <t>CG84-100.jpg</t>
  </si>
  <si>
    <t>Orthopyroxene-bearing leucosome in amphibolite</t>
  </si>
  <si>
    <t>VN87-285</t>
  </si>
  <si>
    <t>VN87-285.jpg</t>
  </si>
  <si>
    <t>Sinistrally(?) rotated K-feldspar megacryst</t>
  </si>
  <si>
    <t>VN87-286</t>
  </si>
  <si>
    <t>VN87-286.jpg</t>
  </si>
  <si>
    <t>Metagabbro net-veined by a derivative of coarse-grained megacrystic granite</t>
  </si>
  <si>
    <t>CG04-110</t>
  </si>
  <si>
    <t>CG04-110.1.jpg</t>
  </si>
  <si>
    <t>Kinematic indicator north (right)-side-up</t>
  </si>
  <si>
    <t>VN91-233.3.jpg</t>
  </si>
  <si>
    <t>Strongly foliated biotite granodiorite; intruded megacrystic monzonite</t>
  </si>
  <si>
    <t>VN91-233.7.jpg</t>
  </si>
  <si>
    <t>Syenite/monzonite with fine-grained layer of similar material</t>
  </si>
  <si>
    <t>CG84-437</t>
  </si>
  <si>
    <t>CG84-437.2.jpg</t>
  </si>
  <si>
    <t>Earl Island quartz diorite intruded by mafic dyke</t>
  </si>
  <si>
    <t>MC77-150</t>
  </si>
  <si>
    <t>MC77-150.2.jpg</t>
  </si>
  <si>
    <t>Discordant pegmatite in foliated granitoid rock</t>
  </si>
  <si>
    <t>GF81-074</t>
  </si>
  <si>
    <t>GF81-074.jpg</t>
  </si>
  <si>
    <t>Earl Island diorite with abundant amphibolite enclaves, intruded by mafic dyke</t>
  </si>
  <si>
    <t>GF81-075</t>
  </si>
  <si>
    <t>GF81-075.2.jpg</t>
  </si>
  <si>
    <t>Earl Island quartz diorite intruded by pegmatite</t>
  </si>
  <si>
    <t>DD91-055.7.jpg</t>
  </si>
  <si>
    <t>CG81-146.2.jpg</t>
  </si>
  <si>
    <t>CG81-146.1.jpg</t>
  </si>
  <si>
    <t>CG81-148.2.jpg</t>
  </si>
  <si>
    <t>CG81-148.1.jpg</t>
  </si>
  <si>
    <t>CG81-148.3.jpg</t>
  </si>
  <si>
    <t>DD91-110</t>
  </si>
  <si>
    <t>DD91-110.3.jpg</t>
  </si>
  <si>
    <t>CG84-294</t>
  </si>
  <si>
    <t>CG84-294.jpg</t>
  </si>
  <si>
    <t>Alexis River anorthosite; mylonitic</t>
  </si>
  <si>
    <t>CG84-300</t>
  </si>
  <si>
    <t>CG84-300.1.jpg</t>
  </si>
  <si>
    <t>Alexis River anorthosite; primary layering</t>
  </si>
  <si>
    <t>NN84-104</t>
  </si>
  <si>
    <t>NN84-104.1.jpg</t>
  </si>
  <si>
    <t>Migmatitic amphibolite derived from Alexis River anorthosite</t>
  </si>
  <si>
    <t>NN84-104.2.jpg</t>
  </si>
  <si>
    <t>Migmatitic amphibolite derived from Alexis River anorthosite; JO</t>
  </si>
  <si>
    <t>VN91-149</t>
  </si>
  <si>
    <t>VN91-149.jpg</t>
  </si>
  <si>
    <t>Layering in hornblende-rich gabbro/diorite</t>
  </si>
  <si>
    <t>VN91-151.2.jpg</t>
  </si>
  <si>
    <t>Texture in metagabbro</t>
  </si>
  <si>
    <t>GM85-361</t>
  </si>
  <si>
    <t>GM85-361.2.jpg</t>
  </si>
  <si>
    <t>Quartz diorite enclaves in K-feldspar megacrystic granodiorite</t>
  </si>
  <si>
    <t>CG84-172.16.jpg</t>
  </si>
  <si>
    <t>Layering in Michael gabbro</t>
  </si>
  <si>
    <t>CG84-172.06.jpg</t>
  </si>
  <si>
    <t>Michael gabbro discordantly intruding quartz diorite and pegmatite</t>
  </si>
  <si>
    <t>CG84-172.17.jpg</t>
  </si>
  <si>
    <t>CG84-172.04.jpg</t>
  </si>
  <si>
    <t>Deformed pegmatite intruding quartz diorite gneiss</t>
  </si>
  <si>
    <t>CG84-172.07.jpg</t>
  </si>
  <si>
    <t>CG86-104</t>
  </si>
  <si>
    <t>CG86-104.jpg</t>
  </si>
  <si>
    <t>Medium-grained gabbronorite</t>
  </si>
  <si>
    <t>SN86-007</t>
  </si>
  <si>
    <t>SN86-007.jpg</t>
  </si>
  <si>
    <t>K-feldspar megacrystic granodiorite, mylonitic</t>
  </si>
  <si>
    <t>SN86-008</t>
  </si>
  <si>
    <t>SN86-008.jpg</t>
  </si>
  <si>
    <t>Granitic gneiss in contact with granodioritic gneiss</t>
  </si>
  <si>
    <t>VN93-615</t>
  </si>
  <si>
    <t>VN93-615.1.jpg</t>
  </si>
  <si>
    <t>Granite enclave in weakly foliated Upper Beaver Brook quartz monzonite</t>
  </si>
  <si>
    <t>VN93-615.2.jpg</t>
  </si>
  <si>
    <t>Very coarse-grained Upper Beaver Brook monzonite to quartz monzonite</t>
  </si>
  <si>
    <t>CG04-286.21.jpg</t>
  </si>
  <si>
    <t>LC and SP sawing wood for Harris Learning (1985)</t>
  </si>
  <si>
    <t>VN93-155</t>
  </si>
  <si>
    <t>VN93-155.jpg</t>
  </si>
  <si>
    <t>Biotite-rich enclave with magnetite crystals along the margin in seriate-textured granodiorite</t>
  </si>
  <si>
    <t>VN93-165</t>
  </si>
  <si>
    <t>VN93-165.jpg</t>
  </si>
  <si>
    <t>Banding in granitic gneiss</t>
  </si>
  <si>
    <t>VN93-166</t>
  </si>
  <si>
    <t>VN93-166.1.jpg</t>
  </si>
  <si>
    <t>Banding in quartzitic metasedimentary rock</t>
  </si>
  <si>
    <t>VN93-166.2.jpg</t>
  </si>
  <si>
    <t>Quartzitic layer in contact with foliated granite</t>
  </si>
  <si>
    <t>VN93-185</t>
  </si>
  <si>
    <t>VN93-185.1.jpg</t>
  </si>
  <si>
    <t>L-S fabric in granodiorite/granite (dark)</t>
  </si>
  <si>
    <t>VN93-185.2.jpg</t>
  </si>
  <si>
    <t>NN80-123.1.jpg</t>
  </si>
  <si>
    <t>K-feldspar megacrystic and melted quartz diorite</t>
  </si>
  <si>
    <t>GM85-473.2.jpg</t>
  </si>
  <si>
    <t>GM85-475</t>
  </si>
  <si>
    <t>GM85-475.1.jpg</t>
  </si>
  <si>
    <t>Mafic enclaves in granodiorite</t>
  </si>
  <si>
    <t>GM85-475.2.jpg</t>
  </si>
  <si>
    <t>GM85-475.3.jpg</t>
  </si>
  <si>
    <t>CG00-199</t>
  </si>
  <si>
    <t>CG00-199.2.jpg</t>
  </si>
  <si>
    <t>Waterfall</t>
  </si>
  <si>
    <t>CG81-001.16.jpg</t>
  </si>
  <si>
    <t>Cartwright, neighbours' residences 3</t>
  </si>
  <si>
    <t>CG87-142</t>
  </si>
  <si>
    <t>CG87-142.jpg</t>
  </si>
  <si>
    <t>Calc-silicate enclave at contact between orthogneiss and metasedimentary gneiss; intruded by pegmatite</t>
  </si>
  <si>
    <t>CG87-143</t>
  </si>
  <si>
    <t>CG87-143.jpg</t>
  </si>
  <si>
    <t>Discordant metamorphosed mafic dyke</t>
  </si>
  <si>
    <t>CG87-146</t>
  </si>
  <si>
    <t>CG87-146.1.jpg</t>
  </si>
  <si>
    <t>Sillimanite biotite garnet metasedimentary gneiss</t>
  </si>
  <si>
    <t>CG87-146.2.jpg</t>
  </si>
  <si>
    <t>CG87-147</t>
  </si>
  <si>
    <t>CG87-147.jpg</t>
  </si>
  <si>
    <t>CG87-148</t>
  </si>
  <si>
    <t>CG87-148.jpg</t>
  </si>
  <si>
    <t>Enclave of anorthosite in deformed megacrystic granitoid rock</t>
  </si>
  <si>
    <t>CG87-150.2.jpg</t>
  </si>
  <si>
    <t>DD91-044.2.jpg</t>
  </si>
  <si>
    <t>DD91-044.1.jpg</t>
  </si>
  <si>
    <t>DD91-045</t>
  </si>
  <si>
    <t>DD91-045.jpg</t>
  </si>
  <si>
    <t>CG92-184</t>
  </si>
  <si>
    <t>CG92-184.jpg</t>
  </si>
  <si>
    <t>Foliated to gneissic recrystallized granite</t>
  </si>
  <si>
    <t>CG92-213</t>
  </si>
  <si>
    <t>CG92-213.jpg</t>
  </si>
  <si>
    <t>Weathered amphibolite - with face of a monster</t>
  </si>
  <si>
    <t>CG92-226</t>
  </si>
  <si>
    <t>CG92-226.jpg</t>
  </si>
  <si>
    <t>Late- to post-Grenvillian hornblende granite</t>
  </si>
  <si>
    <t>CG92-243</t>
  </si>
  <si>
    <t>CG92-243.jpg</t>
  </si>
  <si>
    <t>Recrystallized foliated syenite to monzonite</t>
  </si>
  <si>
    <t>MC77-010.4.jpg</t>
  </si>
  <si>
    <t>Minor folds in tonalite/granodiorite gneiss</t>
  </si>
  <si>
    <t>SN86-344</t>
  </si>
  <si>
    <t>SN86-344.jpg</t>
  </si>
  <si>
    <t>Garnet-quartz-plagioclase-magnetite pod in amphibolite</t>
  </si>
  <si>
    <t>VN91-342.2.jpg</t>
  </si>
  <si>
    <t>VN91-148</t>
  </si>
  <si>
    <t>VN91-148.2.jpg</t>
  </si>
  <si>
    <t>Gneissic biotite granite, sugary textured</t>
  </si>
  <si>
    <t>CG04-286.19.jpg</t>
  </si>
  <si>
    <t>CG80-239</t>
  </si>
  <si>
    <t>CG80-239.jpg</t>
  </si>
  <si>
    <t>Interference folds</t>
  </si>
  <si>
    <t>CG80-241</t>
  </si>
  <si>
    <t>CG80-241.jpg</t>
  </si>
  <si>
    <t>Granodiorite to quartz diorite</t>
  </si>
  <si>
    <t>CG80-242</t>
  </si>
  <si>
    <t>CG80-242.1.jpg</t>
  </si>
  <si>
    <t>Grey granodiorite, then pegmatite then mafic dyke</t>
  </si>
  <si>
    <t>CG80-242.2.jpg</t>
  </si>
  <si>
    <t>Granodiorite, then pegmatite then mafic dyke</t>
  </si>
  <si>
    <t>CG80-243</t>
  </si>
  <si>
    <t>CG80-243.3.jpg</t>
  </si>
  <si>
    <t>Grey granodiorite</t>
  </si>
  <si>
    <t>CG80-243.1.jpg</t>
  </si>
  <si>
    <t>DD91-049.1.jpg</t>
  </si>
  <si>
    <t>Granitic vein in gneiss</t>
  </si>
  <si>
    <t>CG80-265</t>
  </si>
  <si>
    <t>CG80-265.jpg</t>
  </si>
  <si>
    <t>Gossanous zone within tonalitic to granodioritic gneiss</t>
  </si>
  <si>
    <t>NN84-061.4.jpg</t>
  </si>
  <si>
    <t>Garnet-rich sillimanite metasedimentary diatexite</t>
  </si>
  <si>
    <t>NN84-061.1.jpg</t>
  </si>
  <si>
    <t>Amphibolite enclaves in metasedimentary diatexite</t>
  </si>
  <si>
    <t>CG86-528.05.jpg</t>
  </si>
  <si>
    <t>CG86-528.18.jpg</t>
  </si>
  <si>
    <t>Mafic dyke intruding lavas and interlayered metasediments; geochron. sampling site</t>
  </si>
  <si>
    <t>CG86-528.04.jpg</t>
  </si>
  <si>
    <t>VN91-302</t>
  </si>
  <si>
    <t>VN91-302.2.jpg</t>
  </si>
  <si>
    <t>Psammitic gneiss intruded by granite</t>
  </si>
  <si>
    <t>VN91-302.3.jpg</t>
  </si>
  <si>
    <t>Folded granitic veins in psammitic gneiss</t>
  </si>
  <si>
    <t>VN91-302.4.jpg</t>
  </si>
  <si>
    <t>VN91-302.1.jpg</t>
  </si>
  <si>
    <t>Well-banded psammitic gneiss, intruded by pegmatite vein</t>
  </si>
  <si>
    <t>CG04-210.2.jpg</t>
  </si>
  <si>
    <t>VN91-131</t>
  </si>
  <si>
    <t>VN91-131.1.jpg</t>
  </si>
  <si>
    <t>Foliation in biotite granodiorite</t>
  </si>
  <si>
    <t>VN91-134</t>
  </si>
  <si>
    <t>VN91-134.2.jpg</t>
  </si>
  <si>
    <t>Well-developed lineation and foliation in biotite granodiorite/granite</t>
  </si>
  <si>
    <t>GK93-016E</t>
  </si>
  <si>
    <t>GK93-016EE.jpg</t>
  </si>
  <si>
    <t>Barrens north of Red Bay. Bradore Formation capping hill top</t>
  </si>
  <si>
    <t>GM85-104</t>
  </si>
  <si>
    <t>GM85-104.1.jpg</t>
  </si>
  <si>
    <t>Folded, sillimanite metasedimentary gneiss</t>
  </si>
  <si>
    <t>GM85-104.2.jpg</t>
  </si>
  <si>
    <t>GM85-105</t>
  </si>
  <si>
    <t>GM85-105.2.jpg</t>
  </si>
  <si>
    <t>GM85-105.1.jpg</t>
  </si>
  <si>
    <t>GM85-227</t>
  </si>
  <si>
    <t>GM85-227.1.jpg</t>
  </si>
  <si>
    <t>Calc-silicate rock with banding</t>
  </si>
  <si>
    <t>GM85-227.2.jpg</t>
  </si>
  <si>
    <t>GM85-227.3.jpg</t>
  </si>
  <si>
    <t>GM85-327</t>
  </si>
  <si>
    <t>GM85-327.jpg</t>
  </si>
  <si>
    <t>Hornblende biotite monzonite</t>
  </si>
  <si>
    <t>GM85-361.1.jpg</t>
  </si>
  <si>
    <t>CG81-306.24.jpg</t>
  </si>
  <si>
    <t>Diabase dyke intruding layered gabbro</t>
  </si>
  <si>
    <t>CG04-204.4.jpg</t>
  </si>
  <si>
    <t>Rotated feldspar right-side-up</t>
  </si>
  <si>
    <t>CG04-204.5.jpg</t>
  </si>
  <si>
    <t>Flowage in granodiorite gneiss</t>
  </si>
  <si>
    <t>CG04-205.1.jpg</t>
  </si>
  <si>
    <t>AD79-051.2.jpg</t>
  </si>
  <si>
    <t>Aillik Group quartzite</t>
  </si>
  <si>
    <t>AD79-035</t>
  </si>
  <si>
    <t>AD79-035.jpg</t>
  </si>
  <si>
    <t>Probable sheared felsic volcanic rock; crystal tuff or rhyolite</t>
  </si>
  <si>
    <t>AD79-037</t>
  </si>
  <si>
    <t>AD79-037.1.jpg</t>
  </si>
  <si>
    <t>Felsic tuff or rhyolite with plagioclase-phyric mafic dyke</t>
  </si>
  <si>
    <t>AD79-037.2.jpg</t>
  </si>
  <si>
    <t>Rhyolite porphyry(?)</t>
  </si>
  <si>
    <t>AD79-045</t>
  </si>
  <si>
    <t>AD79-045.jpg</t>
  </si>
  <si>
    <t>Fold closure in mafic tuff unit in Aillik volcanic rocks</t>
  </si>
  <si>
    <t>AD79-048</t>
  </si>
  <si>
    <t>AD79-048.4.jpg</t>
  </si>
  <si>
    <t>Aillik Group volcanic conglomerate</t>
  </si>
  <si>
    <t>AD79-048.5.jpg</t>
  </si>
  <si>
    <t>AD79-048.2.jpg</t>
  </si>
  <si>
    <t>AD79-048.1.jpg</t>
  </si>
  <si>
    <t>CG93-187</t>
  </si>
  <si>
    <t>CG93-187.2.jpg</t>
  </si>
  <si>
    <t>Pinware megacrystic granodiorite</t>
  </si>
  <si>
    <t>AD79-048.3.jpg</t>
  </si>
  <si>
    <t>JA92-135</t>
  </si>
  <si>
    <t>JA92-135.jpg</t>
  </si>
  <si>
    <t>Texture in leucogabbro</t>
  </si>
  <si>
    <t>VN95-148</t>
  </si>
  <si>
    <t>VN95-148.1.jpg</t>
  </si>
  <si>
    <t>CG80-585</t>
  </si>
  <si>
    <t>CG80-585.2.jpg</t>
  </si>
  <si>
    <t>CG87-663.2.jpg</t>
  </si>
  <si>
    <t>Anastomosing Long Range? mafic dykes</t>
  </si>
  <si>
    <t>CG97-066.1.jpg</t>
  </si>
  <si>
    <t>CG79-162.5.jpg</t>
  </si>
  <si>
    <t>Coast north of Benedict Mountains</t>
  </si>
  <si>
    <t>CG79-162.1jpg</t>
  </si>
  <si>
    <t>Felsic fragmental rock correlative with Aillik Group</t>
  </si>
  <si>
    <t>SN86-316</t>
  </si>
  <si>
    <t>SN86-316.jpg</t>
  </si>
  <si>
    <t>Diatexitic metasedimentary gneiss</t>
  </si>
  <si>
    <t>CG81-001.14.jpg</t>
  </si>
  <si>
    <t>Cartwright, neighbours' residences 2</t>
  </si>
  <si>
    <t>CG81-001.13.jpg</t>
  </si>
  <si>
    <t>Cartwright, neighbours' residences 1</t>
  </si>
  <si>
    <t>DD91-050</t>
  </si>
  <si>
    <t>DD91-050.1.jpg</t>
  </si>
  <si>
    <t>DD91-050.2.jpg</t>
  </si>
  <si>
    <t>Amphibolite dyke(?) in K-feldspar megacrystic granite</t>
  </si>
  <si>
    <t>CG81-361</t>
  </si>
  <si>
    <t>CG81-361.jpg</t>
  </si>
  <si>
    <t>Garnet-rich quartz diorite gneiss</t>
  </si>
  <si>
    <t>CG81-364</t>
  </si>
  <si>
    <t>CG81-364.2.jpg</t>
  </si>
  <si>
    <t>Garnet quartz diorite gneiss intruded by pegmatite then mafic dyke</t>
  </si>
  <si>
    <t>CG81-364.1.jpg</t>
  </si>
  <si>
    <t>Deformed pegmatite in granodiorite/ quartz diorite</t>
  </si>
  <si>
    <t>MN86-366</t>
  </si>
  <si>
    <t>MN86-366.jpg</t>
  </si>
  <si>
    <t>Boudinaged amphibolite pods in hornblende biotite diorite gneiss</t>
  </si>
  <si>
    <t>MN86-368</t>
  </si>
  <si>
    <t>MN86-368.1.jpg</t>
  </si>
  <si>
    <t>Gneissic texture in metasedimentary gneiss</t>
  </si>
  <si>
    <t>MN86-377</t>
  </si>
  <si>
    <t>MN86-377.jpg</t>
  </si>
  <si>
    <t>Pseudo pillows in mafic rock</t>
  </si>
  <si>
    <t>CG87-580.4.jpg</t>
  </si>
  <si>
    <t>Young gulls (location may be erroneous)</t>
  </si>
  <si>
    <t>CG00-004</t>
  </si>
  <si>
    <t>CG00-004.jpg</t>
  </si>
  <si>
    <t>Enclave in Joir River granite</t>
  </si>
  <si>
    <t>CG00-043.2.jpg</t>
  </si>
  <si>
    <t>Camp site bear damage 1; location 1km N. of CG00-043</t>
  </si>
  <si>
    <t>CG86-174</t>
  </si>
  <si>
    <t>CG86-174.jpg</t>
  </si>
  <si>
    <t>Metasedimentary gneiss enclave in syenite</t>
  </si>
  <si>
    <t>NN80-148.2.jpg</t>
  </si>
  <si>
    <t>NN80-148.5.jpg</t>
  </si>
  <si>
    <t>Double Mer Formation neptunian (clastic) dyke, and MT</t>
  </si>
  <si>
    <t>NN80-148.4.jpg</t>
  </si>
  <si>
    <t>CG04-158.4.jpg</t>
  </si>
  <si>
    <t>Foxes 4</t>
  </si>
  <si>
    <t>CG04-158.5.jpg</t>
  </si>
  <si>
    <t>Foxes 5</t>
  </si>
  <si>
    <t>CG04-158.6.jpg</t>
  </si>
  <si>
    <t>Foxes 6</t>
  </si>
  <si>
    <t>CG04-158.7.jpg</t>
  </si>
  <si>
    <t>Foxes 7</t>
  </si>
  <si>
    <t>CG04-163</t>
  </si>
  <si>
    <t>CG04-163.1.jpg</t>
  </si>
  <si>
    <t>Mylonitized granodiorite gneiss</t>
  </si>
  <si>
    <t>CG04-163.2.jpg</t>
  </si>
  <si>
    <t>Mylonitized granodiorite gneiss; kinematic indicator North (left) -side up</t>
  </si>
  <si>
    <t>CG04-170</t>
  </si>
  <si>
    <t>CG04-170.jpg</t>
  </si>
  <si>
    <t>Mylonitized quartz diorite gneiss; kinematic indicator South (left) -side up</t>
  </si>
  <si>
    <t>CG04-173.1.jpg</t>
  </si>
  <si>
    <t>Rough-legged hawk 1</t>
  </si>
  <si>
    <t>CG04-173.2.jpg</t>
  </si>
  <si>
    <t>Shear patterns in bubbles on water surface 1</t>
  </si>
  <si>
    <t>CG04-173.3.jpg</t>
  </si>
  <si>
    <t>CG04-173.4.jpg</t>
  </si>
  <si>
    <t>Rough-legged hawk 4</t>
  </si>
  <si>
    <t>CG04-173.5.jpg</t>
  </si>
  <si>
    <t>Rough-legged hawk 5</t>
  </si>
  <si>
    <t>CG81-160</t>
  </si>
  <si>
    <t>CG81-160.jpg</t>
  </si>
  <si>
    <t>CG81-161</t>
  </si>
  <si>
    <t>CG81-161.2.jpg</t>
  </si>
  <si>
    <t>CG81-161.1.jpg</t>
  </si>
  <si>
    <t>CG86-088.09.jpg</t>
  </si>
  <si>
    <t>Sigrid Neuland's boots</t>
  </si>
  <si>
    <t>MN86-175</t>
  </si>
  <si>
    <t>MN86-175.jpg</t>
  </si>
  <si>
    <t>CG81-317</t>
  </si>
  <si>
    <t>CG81-317.1.jpg</t>
  </si>
  <si>
    <t>Muscovite-bearing pegmatite in Curlew Harbour metasedimentary gneiss</t>
  </si>
  <si>
    <t>MN86-388</t>
  </si>
  <si>
    <t>MN86-388.jpg</t>
  </si>
  <si>
    <t>Fault breccia and quartz-feldspar vein</t>
  </si>
  <si>
    <t>MN86-401</t>
  </si>
  <si>
    <t>MN86-401.2.jpg</t>
  </si>
  <si>
    <t>Prograde orthopyroxene reaction rim around amphibolite</t>
  </si>
  <si>
    <t>AL78-034</t>
  </si>
  <si>
    <t>AL78-034.jpg</t>
  </si>
  <si>
    <t>Agmatite</t>
  </si>
  <si>
    <t>CG93-206.3.jpg</t>
  </si>
  <si>
    <t>Mafic dyke intruding syenite and pegmatite</t>
  </si>
  <si>
    <t>VN95-148.2.jpg</t>
  </si>
  <si>
    <t>CG92-139</t>
  </si>
  <si>
    <t>CG92-139.jpg</t>
  </si>
  <si>
    <t>Foliated meta-anorthosite</t>
  </si>
  <si>
    <t>CG92-140</t>
  </si>
  <si>
    <t>CG92-140.jpg</t>
  </si>
  <si>
    <t>Pink, unrecrystallized pegmatite</t>
  </si>
  <si>
    <t>CG99-040</t>
  </si>
  <si>
    <t>CG99-040.2.jpg</t>
  </si>
  <si>
    <t>Quartz syenite with minor mafic dykes</t>
  </si>
  <si>
    <t>CG99-040.1.jpg</t>
  </si>
  <si>
    <t>Quartz syenite with mafic enclave or mafic dyke</t>
  </si>
  <si>
    <t>CG99-045.3.jpg</t>
  </si>
  <si>
    <t>Microgranite (120o trend) intruding late- to post-Grenvillian quartz monzonite</t>
  </si>
  <si>
    <t>CG99-045.2.jpg</t>
  </si>
  <si>
    <t>CG99-045.4.jpg</t>
  </si>
  <si>
    <t>Microgranite (060o trend) intruding late- to post-Grenvillian quartz monzonite</t>
  </si>
  <si>
    <t>CG87-055.06.jpg</t>
  </si>
  <si>
    <t>CG86-310.2.jpg</t>
  </si>
  <si>
    <t>S-folds in metasedimentary gneiss</t>
  </si>
  <si>
    <t>DD91-048.1.jpg</t>
  </si>
  <si>
    <t>Pegmatite 'refracted' through enclave in granite</t>
  </si>
  <si>
    <t>MC77-097.4.jpg</t>
  </si>
  <si>
    <t>Mylonitic granodiorite/ quartz diorite gneiss with amphibolite</t>
  </si>
  <si>
    <t>CG00-199.1.jpg</t>
  </si>
  <si>
    <t>Amphibolite and granitic gneiss</t>
  </si>
  <si>
    <t>MC77-081.2.jpg</t>
  </si>
  <si>
    <t>MC77-081.5.jpg</t>
  </si>
  <si>
    <t>JS86-451.1.jpg</t>
  </si>
  <si>
    <t>CG86-528.01.jpg</t>
  </si>
  <si>
    <t>Calc-silicate pod in mafic volcanic rocks</t>
  </si>
  <si>
    <t>VN87-393.1.jpg</t>
  </si>
  <si>
    <t>VN95-131</t>
  </si>
  <si>
    <t>VN95-131.jpg</t>
  </si>
  <si>
    <t>Orthopyroxene-bearing granulite enclaves in K-feldspar megacrystic monzonite</t>
  </si>
  <si>
    <t>CG80-321.2.jpg</t>
  </si>
  <si>
    <t>CG80-321.1.jpg</t>
  </si>
  <si>
    <t>CG07-148.3.jpg</t>
  </si>
  <si>
    <t>VN91-117</t>
  </si>
  <si>
    <t>VN91-117.1.jpg</t>
  </si>
  <si>
    <t>CG86-618</t>
  </si>
  <si>
    <t>CG86-618.1.jpg</t>
  </si>
  <si>
    <t>Coarse-grained, unrecrystallized late- to post-Grenvillian Southwest Pond granite</t>
  </si>
  <si>
    <t>CG84-436.05.jpg</t>
  </si>
  <si>
    <t>Pegmatite dyke intruding quartz diorite</t>
  </si>
  <si>
    <t>SN86-338</t>
  </si>
  <si>
    <t>SN86-338.1.jpg</t>
  </si>
  <si>
    <t>Diorite with amphibolite dyke</t>
  </si>
  <si>
    <t>SN86-338.2.jpg</t>
  </si>
  <si>
    <t>SN86-340</t>
  </si>
  <si>
    <t>SN86-340.1.jpg</t>
  </si>
  <si>
    <t>Diorite and amphibolite</t>
  </si>
  <si>
    <t>DD91-051.1.jpg</t>
  </si>
  <si>
    <t>VN93-048.8.jpg</t>
  </si>
  <si>
    <t>Contact between massive granite and granitic gneiss</t>
  </si>
  <si>
    <t>CG99-177</t>
  </si>
  <si>
    <t>CG99-177.jpg</t>
  </si>
  <si>
    <t>Cliff of late- to post-Grenvillian granite</t>
  </si>
  <si>
    <t>CG99-182</t>
  </si>
  <si>
    <t>CG99-182.jpg</t>
  </si>
  <si>
    <t>Diorite/granite, recrystallized</t>
  </si>
  <si>
    <t>CG99-184</t>
  </si>
  <si>
    <t>CG99-184.1.jpg</t>
  </si>
  <si>
    <t>Granite</t>
  </si>
  <si>
    <t>CG99-186</t>
  </si>
  <si>
    <t>CG99-186.jpg</t>
  </si>
  <si>
    <t>Amphibolite with melt pod and vein</t>
  </si>
  <si>
    <t>CG99-191</t>
  </si>
  <si>
    <t>CG99-191.jpg</t>
  </si>
  <si>
    <t>Foliated to gneissic granite</t>
  </si>
  <si>
    <t>CG99-195</t>
  </si>
  <si>
    <t>CG99-195.1.jpg</t>
  </si>
  <si>
    <t>Early, white pegmatite in amphibolite/metagabbro</t>
  </si>
  <si>
    <t>CG99-195.4.jpg</t>
  </si>
  <si>
    <t>CG92-065</t>
  </si>
  <si>
    <t>CG92-065.2.jpg</t>
  </si>
  <si>
    <t>Amphibolite dyke; second of two mafic dyking events</t>
  </si>
  <si>
    <t>CG92-065.6.jpg</t>
  </si>
  <si>
    <t>Granodiorite gneiss intruded by two phases of mafic dykes</t>
  </si>
  <si>
    <t>CG92-065.3.jpg</t>
  </si>
  <si>
    <t>Buff-grey aplite; discordantly intrudes two sets of mafic dykes</t>
  </si>
  <si>
    <t>CG92-065.4.jpg</t>
  </si>
  <si>
    <t>Migmatized grey granodiorite host rock to mafic dykes</t>
  </si>
  <si>
    <t>CG92-065.5.jpg</t>
  </si>
  <si>
    <t>Buff-grey aplite intruding earlier mafic dyke</t>
  </si>
  <si>
    <t>CG92-065.7.jpg</t>
  </si>
  <si>
    <t>Buff-grey aplite intruded by pegmatite</t>
  </si>
  <si>
    <t>CG92-066.2.jpg</t>
  </si>
  <si>
    <t>CG92-066.6.jpg</t>
  </si>
  <si>
    <t>SK at the Cutthroat Island thrust</t>
  </si>
  <si>
    <t>AD79-003.1.jpg</t>
  </si>
  <si>
    <t>Apophysis of mafic dyke in felsic tuff</t>
  </si>
  <si>
    <t>AD79-008</t>
  </si>
  <si>
    <t>AD79-008.1.jpg</t>
  </si>
  <si>
    <t>Dyke breccia or protomigmatite</t>
  </si>
  <si>
    <t>AD79-008.2.jpg</t>
  </si>
  <si>
    <t>AD79-009.5.jpg</t>
  </si>
  <si>
    <t>Manak Bay Formation compositional layering</t>
  </si>
  <si>
    <t>CG80-243.2.jpg</t>
  </si>
  <si>
    <t>CG80-247</t>
  </si>
  <si>
    <t>CG80-247.jpg</t>
  </si>
  <si>
    <t>Pink granite</t>
  </si>
  <si>
    <t>VN87-289</t>
  </si>
  <si>
    <t>VN87-289.2.jpg</t>
  </si>
  <si>
    <t>Muscovite-bearing quartzite layer; 10 m wide</t>
  </si>
  <si>
    <t>VN85-551</t>
  </si>
  <si>
    <t>VN85-551.jpg</t>
  </si>
  <si>
    <t>North of Hawke Harbour, south of Frenchman's Island (looking north)</t>
  </si>
  <si>
    <t>VN85-581.2.jpg</t>
  </si>
  <si>
    <t>K-feldspar megacrystic granodiorite intruded by granitic dyke</t>
  </si>
  <si>
    <t>CG92-145.2.jpg</t>
  </si>
  <si>
    <t>CG92-145.1.jpg</t>
  </si>
  <si>
    <t>VN87-373</t>
  </si>
  <si>
    <t>VN87-373.jpg</t>
  </si>
  <si>
    <t>Mylonitic fabric in hornblende biotite monzonite</t>
  </si>
  <si>
    <t>VN87-376</t>
  </si>
  <si>
    <t>VN87-376.jpg</t>
  </si>
  <si>
    <t>Dextrally rotated K-feldspar megacrysts in mylonitic granodiorite</t>
  </si>
  <si>
    <t>VN85-605.4.jpg</t>
  </si>
  <si>
    <t>VN85-605.1.jpg</t>
  </si>
  <si>
    <t>Rotated K-feldspar megacrysts in K-feldspar megacrystic granodiorite; top to north</t>
  </si>
  <si>
    <t>VN85-611</t>
  </si>
  <si>
    <t>VN85-611.1.jpg</t>
  </si>
  <si>
    <t>VN85-611.2.jpg</t>
  </si>
  <si>
    <t>GM85-592</t>
  </si>
  <si>
    <t>GM85-592.2.jpg</t>
  </si>
  <si>
    <t>Grey-weathering band in hornblende quartz diorite</t>
  </si>
  <si>
    <t>GM85-592.1.jpg</t>
  </si>
  <si>
    <t>CG92-281.4.jpg</t>
  </si>
  <si>
    <t>CG85-550</t>
  </si>
  <si>
    <t>CG85-550.jpg</t>
  </si>
  <si>
    <t>K-feldspar megacrystic granodiorite containing mafic enclaves intruded by microgranite</t>
  </si>
  <si>
    <t>CG85-558</t>
  </si>
  <si>
    <t>CG85-558.2.jpg</t>
  </si>
  <si>
    <t>CG85-559</t>
  </si>
  <si>
    <t>CG85-559.jpg</t>
  </si>
  <si>
    <t>CG85-576</t>
  </si>
  <si>
    <t>CG85-576.1.jpg</t>
  </si>
  <si>
    <t>Iceberg (location somewhat uncertain)</t>
  </si>
  <si>
    <t>CG85-576.2.jpg</t>
  </si>
  <si>
    <t>Young gull  (location somewhat uncertain)</t>
  </si>
  <si>
    <t>CG85-576.3.jpg</t>
  </si>
  <si>
    <t>Iceberg  (location somewhat uncertain)</t>
  </si>
  <si>
    <t>CG85-590.1.jpg</t>
  </si>
  <si>
    <t>Agmatitic relationships</t>
  </si>
  <si>
    <t>CG84-443</t>
  </si>
  <si>
    <t>CG84-443.jpg</t>
  </si>
  <si>
    <t>Enclave of anorthositic gabbro in granodiorite - amphibolite gneiss</t>
  </si>
  <si>
    <t>CG84-452</t>
  </si>
  <si>
    <t>CG84-452.3.jpg</t>
  </si>
  <si>
    <t>Caribou; English River area 3 (location very approximate)</t>
  </si>
  <si>
    <t>CG84-452.2.jpg</t>
  </si>
  <si>
    <t>Caribou; English River area 2 (location very approximate)</t>
  </si>
  <si>
    <t>CG84-452.1.jpg</t>
  </si>
  <si>
    <t>Caribou; English River area 1 (location very approximate)</t>
  </si>
  <si>
    <t>CG84-482</t>
  </si>
  <si>
    <t>CG84-482.jpg</t>
  </si>
  <si>
    <t>Long Range dyke; paleomag sample site</t>
  </si>
  <si>
    <t>CG93-422</t>
  </si>
  <si>
    <t>CG93-422.jpg</t>
  </si>
  <si>
    <t>Foliated monzonite with pegmatitic veins</t>
  </si>
  <si>
    <t>CG80-130</t>
  </si>
  <si>
    <t>CG80-130.jpg</t>
  </si>
  <si>
    <t>Amphibolite and granite, altered and brecciated</t>
  </si>
  <si>
    <t>VN91-108.6.jpg</t>
  </si>
  <si>
    <t>VN91-108.3.jpg</t>
  </si>
  <si>
    <t>Straight layering in rock possibly derived from mafic supracrustal unit</t>
  </si>
  <si>
    <t>JS86-339</t>
  </si>
  <si>
    <t>JS86-339.3.jpg</t>
  </si>
  <si>
    <t>JS86-349</t>
  </si>
  <si>
    <t>JS86-349.jpg</t>
  </si>
  <si>
    <t>VN85-420.3.jpg</t>
  </si>
  <si>
    <t>Tight fold in gabbro</t>
  </si>
  <si>
    <t>VN85-441</t>
  </si>
  <si>
    <t>VN85-441.jpg</t>
  </si>
  <si>
    <t>Metasedimentary gneiss enclave in K-feldspar megacrystic granodiorite</t>
  </si>
  <si>
    <t>VN85-466</t>
  </si>
  <si>
    <t>VN85-466.jpg</t>
  </si>
  <si>
    <t>Amphibolite enclaves in K-feldspar megacrystic granodiorite</t>
  </si>
  <si>
    <t>VN85-468</t>
  </si>
  <si>
    <t>VN85-468.2.jpg</t>
  </si>
  <si>
    <t>Megacrystic granodiorite intruding amphibolite</t>
  </si>
  <si>
    <t>VN85-468.1.jpg</t>
  </si>
  <si>
    <t>VN85-493.1.jpg</t>
  </si>
  <si>
    <t>Well-banded psammitic rock (Mylonite? CFG)</t>
  </si>
  <si>
    <t>VN91-106.1.jpg</t>
  </si>
  <si>
    <t>Banding in rock of possible felsic metavolcanic protolith</t>
  </si>
  <si>
    <t>CG86-088.17.jpg</t>
  </si>
  <si>
    <t>GW, JD and GS in Port Hope Simpson (1997)</t>
  </si>
  <si>
    <t>CG86-088.16.jpg</t>
  </si>
  <si>
    <t>RR in Port Hope Simpson (1997)</t>
  </si>
  <si>
    <t>CG86-088.15.jpg</t>
  </si>
  <si>
    <t>Field crew (1987))  in Port Hope Simpson</t>
  </si>
  <si>
    <t>CG86-089</t>
  </si>
  <si>
    <t>CG86-089.jpg</t>
  </si>
  <si>
    <t>Banded/mylonitic amphibolitic gneiss</t>
  </si>
  <si>
    <t>VN87-399</t>
  </si>
  <si>
    <t>VN87-399.jpg</t>
  </si>
  <si>
    <t>Coarse-grained granite intruded by mafic-mineral-rich granodiorite.granite</t>
  </si>
  <si>
    <t>VN87-407.3.jpg</t>
  </si>
  <si>
    <t>Mylonitic biotite hornblende granitic gneiss intruded by two generations of pegmatite</t>
  </si>
  <si>
    <t>VN87-407.1.jpg</t>
  </si>
  <si>
    <t>CG81-389</t>
  </si>
  <si>
    <t>CG81-389.1.jpg</t>
  </si>
  <si>
    <t>Biotite tonalite/granodiorite gneiss with superimposed folds</t>
  </si>
  <si>
    <t>CG81-389.2.jpg</t>
  </si>
  <si>
    <t>Syn-folding pegmatite injection in Hare Harbour tonalite/granodiorite gneiss</t>
  </si>
  <si>
    <t>CG86-693.1.jpg</t>
  </si>
  <si>
    <t>Fresh diabase dyke (Gilbert Bay dykes); paleomag. sample site</t>
  </si>
  <si>
    <t>GM85-536.5.jpg</t>
  </si>
  <si>
    <t>Wispy amphibolite in syenite/granite</t>
  </si>
  <si>
    <t>VO81-143</t>
  </si>
  <si>
    <t>VO81-143.jpg</t>
  </si>
  <si>
    <t>Pegmatite injected along axial surfaces of intrafolial folds</t>
  </si>
  <si>
    <t>VO81-147.1.jpg</t>
  </si>
  <si>
    <t>Amphibolite boudin intruded by foliated microgranite</t>
  </si>
  <si>
    <t>VN91-388</t>
  </si>
  <si>
    <t>VN91-388.2.jpg</t>
  </si>
  <si>
    <t>Folds in metasedimentary gneiss</t>
  </si>
  <si>
    <t>VN91-392</t>
  </si>
  <si>
    <t>VN91-392.2.jpg</t>
  </si>
  <si>
    <t>Coronitic leucogabbro</t>
  </si>
  <si>
    <t>VN91-392.3.jpg</t>
  </si>
  <si>
    <t>VN91-403</t>
  </si>
  <si>
    <t>VN91-403.2.jpg</t>
  </si>
  <si>
    <t>NN84-375</t>
  </si>
  <si>
    <t>NN84-375.2.jpg</t>
  </si>
  <si>
    <t>84-12</t>
  </si>
  <si>
    <t>Brittle-fault breccia</t>
  </si>
  <si>
    <t>NN84-381</t>
  </si>
  <si>
    <t>NN84-381.1.jpg</t>
  </si>
  <si>
    <t>Brittle-fault breccia of granitic and amphibolitic gneiss</t>
  </si>
  <si>
    <t>NN84-381.2.jpg</t>
  </si>
  <si>
    <t>MN86-210.1.jpg</t>
  </si>
  <si>
    <t>MN86-408</t>
  </si>
  <si>
    <t>MN86-408.jpg</t>
  </si>
  <si>
    <t>K-feldspar megacrystic granodiorite intruded by mafic dyke and discordant pegmatite</t>
  </si>
  <si>
    <t>MN86-413</t>
  </si>
  <si>
    <t>MN86-413.jpg</t>
  </si>
  <si>
    <t>Banded amphibolite and K-feldspar megacrystic granodiorite</t>
  </si>
  <si>
    <t>GM85-590.4.jpg</t>
  </si>
  <si>
    <t>Contact between hornblende quartz diorite and K-feldspar megacrystic granodiorite</t>
  </si>
  <si>
    <t>GM85-590.2.jpg</t>
  </si>
  <si>
    <t>GM85-590.3.jpg</t>
  </si>
  <si>
    <t>GM85-591</t>
  </si>
  <si>
    <t>GM85-591.3.jpg</t>
  </si>
  <si>
    <t>Granodiorite with amphibolite enclaves</t>
  </si>
  <si>
    <t>GM85-591.2.jpg</t>
  </si>
  <si>
    <t>GM85-591.1.jpg</t>
  </si>
  <si>
    <t>GM85-592.7.jpg</t>
  </si>
  <si>
    <t>Enclave of granodiorite in quartz diorite</t>
  </si>
  <si>
    <t>GM85-592.6.jpg</t>
  </si>
  <si>
    <t>GM85-592.3.jpg</t>
  </si>
  <si>
    <t>CG79-347.4.jpg</t>
  </si>
  <si>
    <t>Early agmatized mafic dyke and later mafic dyke in tonalitic/granodiorite gneiss</t>
  </si>
  <si>
    <t>CG79-347.3.jpg</t>
  </si>
  <si>
    <t>Refolded isoclinal folds</t>
  </si>
  <si>
    <t>CG79-347.1.jpg</t>
  </si>
  <si>
    <t>Tonalitic gneiss with amphibolite</t>
  </si>
  <si>
    <t>CG79-349</t>
  </si>
  <si>
    <t>CG79-349.jpg</t>
  </si>
  <si>
    <t>Well banded garnet tonalite/granodiorite gneiss</t>
  </si>
  <si>
    <t>CG79-359.4.jpg</t>
  </si>
  <si>
    <t>Mylonite and pseudotachylite</t>
  </si>
  <si>
    <t>CG81-130.3.jpg</t>
  </si>
  <si>
    <t>Groundhog</t>
  </si>
  <si>
    <t>CG79-762</t>
  </si>
  <si>
    <t>CG79-762.1.jpg</t>
  </si>
  <si>
    <t>79-08</t>
  </si>
  <si>
    <t>Partial melting in tonalite/granodiorite gneiss</t>
  </si>
  <si>
    <t>CG79-162.2.jpg</t>
  </si>
  <si>
    <t>Benedict Mountains south of Burnt Island 1</t>
  </si>
  <si>
    <t>CG79-162.3.jpg</t>
  </si>
  <si>
    <t>Benedict Mountains south of Burnt Island 2</t>
  </si>
  <si>
    <t>CG80-325</t>
  </si>
  <si>
    <t>CG80-325.1.jpg</t>
  </si>
  <si>
    <t>Contact between mafic dyke and granodioritic gneiss</t>
  </si>
  <si>
    <t>CG80-328</t>
  </si>
  <si>
    <t>CG80-328.1.jpg</t>
  </si>
  <si>
    <t>Gneissosity intruded by porphyritic mafic dyke</t>
  </si>
  <si>
    <t>CG80-328.3.jpg</t>
  </si>
  <si>
    <t>Migmatitic amphibolite intruded by unmigmatized amphibolite</t>
  </si>
  <si>
    <t>CG80-328.4.jpg</t>
  </si>
  <si>
    <t>Porphyritic mafic dyke with chilled phenocryst-free margin</t>
  </si>
  <si>
    <t>SN86-345.1.jpg</t>
  </si>
  <si>
    <t>Dioritic pod in amphibolite</t>
  </si>
  <si>
    <t>CG87-488.08.jpg</t>
  </si>
  <si>
    <t>CG85-419</t>
  </si>
  <si>
    <t>CG85-419.jpg</t>
  </si>
  <si>
    <t>Tectonized contact between gabbro and granite</t>
  </si>
  <si>
    <t>CG85-420</t>
  </si>
  <si>
    <t>CG85-420.jpg</t>
  </si>
  <si>
    <t>Schistose mylonitic amphibolite interlayered with granite</t>
  </si>
  <si>
    <t>CG85-421</t>
  </si>
  <si>
    <t>CG85-421.3.jpg</t>
  </si>
  <si>
    <t>Plagioclase-phyric mafic dyke in granite</t>
  </si>
  <si>
    <t>CG85-421.2.jpg</t>
  </si>
  <si>
    <t>Chiled margin of plagioclase-phyric mafic dyke intruding gabbro</t>
  </si>
  <si>
    <t>CG85-421.1.jpg</t>
  </si>
  <si>
    <t>Plagioclase-phyric mafic dyke intruding granite</t>
  </si>
  <si>
    <t>CG85-423</t>
  </si>
  <si>
    <t>CG85-423.jpg</t>
  </si>
  <si>
    <t>Interfolded gabbro and granite</t>
  </si>
  <si>
    <t>CG85-424</t>
  </si>
  <si>
    <t>CG85-424.jpg</t>
  </si>
  <si>
    <t>Contact between gabbro and granite</t>
  </si>
  <si>
    <t>CG93-249.2.jpg</t>
  </si>
  <si>
    <t>Deformed raft of felsic volcanic(?) rocks</t>
  </si>
  <si>
    <t>CG93-250</t>
  </si>
  <si>
    <t>CG93-250.3.jpg</t>
  </si>
  <si>
    <t>Sillimanite (&gt; 10 cm long) in metasedimentary gneiss</t>
  </si>
  <si>
    <t>CG80-328.2.jpg</t>
  </si>
  <si>
    <t>Folded migmatitic amphibolite</t>
  </si>
  <si>
    <t>CG80-331</t>
  </si>
  <si>
    <t>CG80-331.1.jpg</t>
  </si>
  <si>
    <t>Refolded mafic dyke</t>
  </si>
  <si>
    <t>CG80-331.2.jpg</t>
  </si>
  <si>
    <t>CG80-333</t>
  </si>
  <si>
    <t>CG80-333.jpg</t>
  </si>
  <si>
    <t>Folded discordant mafic dyke</t>
  </si>
  <si>
    <t>CG80-334</t>
  </si>
  <si>
    <t>CG80-334.jpg</t>
  </si>
  <si>
    <t>Cabins on islands west of South Green Island</t>
  </si>
  <si>
    <t>CG80-336</t>
  </si>
  <si>
    <t>CG80-336.jpg</t>
  </si>
  <si>
    <t>Two phases of mafic dyke and later microgranite</t>
  </si>
  <si>
    <t>CG80-023</t>
  </si>
  <si>
    <t>CG80-023.1.jpg</t>
  </si>
  <si>
    <t>Garnet metasedimentary gneiss</t>
  </si>
  <si>
    <t>CG80-024</t>
  </si>
  <si>
    <t>CG80-024.jpg</t>
  </si>
  <si>
    <t>Amphibolite/diorite alternating with microgranite</t>
  </si>
  <si>
    <t>CG80-028</t>
  </si>
  <si>
    <t>CG80-028.2.jpg</t>
  </si>
  <si>
    <t>Garnet-bearing psammite with some anatectic melting</t>
  </si>
  <si>
    <t>VN91-411</t>
  </si>
  <si>
    <t>VN91-411.1.jpg</t>
  </si>
  <si>
    <t>Long Range dyke intruding foliated diorite</t>
  </si>
  <si>
    <t>VN91-416.1.jpg</t>
  </si>
  <si>
    <t>Strongly foliated syenite</t>
  </si>
  <si>
    <t>CG79-141</t>
  </si>
  <si>
    <t>CG79-141.jpg</t>
  </si>
  <si>
    <t>Foliated to gneissic tonalitic rock</t>
  </si>
  <si>
    <t>CG79-142</t>
  </si>
  <si>
    <t>CG79-142.jpg</t>
  </si>
  <si>
    <t>Possible metasedimentary rocks and tonalite</t>
  </si>
  <si>
    <t>CG79-143</t>
  </si>
  <si>
    <t>CG79-143.jpg</t>
  </si>
  <si>
    <t>CG79-144</t>
  </si>
  <si>
    <t>CG79-144.jpg</t>
  </si>
  <si>
    <t>Schistose to gneissic fine-grained felsic rocks</t>
  </si>
  <si>
    <t>VN92-101</t>
  </si>
  <si>
    <t>VN92-101.1.jpg</t>
  </si>
  <si>
    <t>92-11</t>
  </si>
  <si>
    <t>Texture in leucogabbro/leucodiorite</t>
  </si>
  <si>
    <t>CG79-145</t>
  </si>
  <si>
    <t>CG79-145.1.jpg</t>
  </si>
  <si>
    <t>Microtonalite/granodiorite, strongly deformed</t>
  </si>
  <si>
    <t>CG79-145.2.jpg</t>
  </si>
  <si>
    <t>Pink granite intruding microtonalite</t>
  </si>
  <si>
    <t>GM85-534</t>
  </si>
  <si>
    <t>GM85-534.1.jpg</t>
  </si>
  <si>
    <t>Amphibolite enclaves in quartz diorite</t>
  </si>
  <si>
    <t>CG97-092</t>
  </si>
  <si>
    <t>CG97-092.jpg</t>
  </si>
  <si>
    <t>Eagle River 3</t>
  </si>
  <si>
    <t>CG97-092.1.jpg</t>
  </si>
  <si>
    <t>Foliated leuconorite to norite</t>
  </si>
  <si>
    <t>CG04-157</t>
  </si>
  <si>
    <t>CG04-157.2.jpg</t>
  </si>
  <si>
    <t>Signs at Cartwright Junction before start of Phase III</t>
  </si>
  <si>
    <t>DE91-098</t>
  </si>
  <si>
    <t>DE91-098.jpg</t>
  </si>
  <si>
    <t>DE91-101</t>
  </si>
  <si>
    <t>DE91-101.jpg</t>
  </si>
  <si>
    <t>DE91-105</t>
  </si>
  <si>
    <t>DE91-105.1.jpg</t>
  </si>
  <si>
    <t>DE91-105.2.jpg</t>
  </si>
  <si>
    <t>DE91-110</t>
  </si>
  <si>
    <t>DE91-110.jpg</t>
  </si>
  <si>
    <t>DL93-288</t>
  </si>
  <si>
    <t>DL93-288.jpg</t>
  </si>
  <si>
    <t>Foliated and lineated granite or felsic volcanic rock</t>
  </si>
  <si>
    <t>CG04-034</t>
  </si>
  <si>
    <t>CG04-034.1.jpg</t>
  </si>
  <si>
    <t>K-feldspar seriate to megacrystic granitoid rock</t>
  </si>
  <si>
    <t>CG04-034.2.jpg</t>
  </si>
  <si>
    <t>CG04-034.3.jpg</t>
  </si>
  <si>
    <t>K-feldspar seriate to megacrystic granitoid rock with pegmatitic vein</t>
  </si>
  <si>
    <t>CG92-066.4.jpg</t>
  </si>
  <si>
    <t>CG92-074</t>
  </si>
  <si>
    <t>CG92-074.2cropped.jpg</t>
  </si>
  <si>
    <t>Upper St. Lewis River (north) fine-grained granite</t>
  </si>
  <si>
    <t>CG07-140</t>
  </si>
  <si>
    <t>CG07-140.2.jpg</t>
  </si>
  <si>
    <t>Clastic dyke near Indian Tickle, Great Caribou Island</t>
  </si>
  <si>
    <t>CG07-141</t>
  </si>
  <si>
    <t>CG07-141.1.jpg</t>
  </si>
  <si>
    <t>Isoclinal folding in calc-silicate gneiss</t>
  </si>
  <si>
    <t>CG07-141.2.jpg</t>
  </si>
  <si>
    <t>Calc-silicate rock and pegmatite</t>
  </si>
  <si>
    <t>CG07-141.3.jpg</t>
  </si>
  <si>
    <t>CG07-141.4.jpg</t>
  </si>
  <si>
    <t>CG07-142</t>
  </si>
  <si>
    <t>CG07-142.jpg</t>
  </si>
  <si>
    <t>Syn-deformational shear?</t>
  </si>
  <si>
    <t>CG07-143.1.jpg</t>
  </si>
  <si>
    <t>Calc-silicate rocks and pegmatite on Acreman's Point</t>
  </si>
  <si>
    <t>CG84-169</t>
  </si>
  <si>
    <t>CG84-169.jpg</t>
  </si>
  <si>
    <t>Mylonitic Alexis River anorthosite</t>
  </si>
  <si>
    <t>CG84-172.12.jpg</t>
  </si>
  <si>
    <t>Michael gabbro intruding Labradorian gneiss; geochron. sample site</t>
  </si>
  <si>
    <t>CG84-172.18.jpg</t>
  </si>
  <si>
    <t>Michael gabbro intruded by pegmatite and microgranite dykes</t>
  </si>
  <si>
    <t>CG84-172.11.jpg</t>
  </si>
  <si>
    <t>85-</t>
  </si>
  <si>
    <t>JAN 85T4</t>
  </si>
  <si>
    <t>Michael gabbro discordantly intruding pegmatite</t>
  </si>
  <si>
    <t>CG84-172.19.jpg</t>
  </si>
  <si>
    <t>CG84-172.08.jpg</t>
  </si>
  <si>
    <t>Mafic dyke within grey granodiorite gneiss intruded by Michael gabbro</t>
  </si>
  <si>
    <t>CG87-421.3.jpg</t>
  </si>
  <si>
    <t>Large muscovite sheets in pegmatite</t>
  </si>
  <si>
    <t>CG81-556.5.jpg</t>
  </si>
  <si>
    <t>GM85-637</t>
  </si>
  <si>
    <t>GM85-637.3.jpg</t>
  </si>
  <si>
    <t>Banded amphibolite - quartz diorite gneiss</t>
  </si>
  <si>
    <t>GM85-637.4.jpg</t>
  </si>
  <si>
    <t>GM85-637.1.jpg</t>
  </si>
  <si>
    <t>Mylonitic  K-feldspar megacrystic quartz diorite</t>
  </si>
  <si>
    <t>GM85-640</t>
  </si>
  <si>
    <t>GM85-640.jpg</t>
  </si>
  <si>
    <t>Pink granite/syenite</t>
  </si>
  <si>
    <t>VN95-159</t>
  </si>
  <si>
    <t>VN95-159.jpg</t>
  </si>
  <si>
    <t>Weakly foliated, K-feldspar megacrystic monzonite</t>
  </si>
  <si>
    <t>CG84-241</t>
  </si>
  <si>
    <t>CG84-241.3.jpg</t>
  </si>
  <si>
    <t>MN86-401.1.jpg</t>
  </si>
  <si>
    <t>Foliation in mafic boudin truncated by enveloping gneiss; prograde orthopyroxene reaction rim</t>
  </si>
  <si>
    <t>MN86-402</t>
  </si>
  <si>
    <t>MN86-402.jpg</t>
  </si>
  <si>
    <t>Banded amphibolite gneiss</t>
  </si>
  <si>
    <t>NN80-351.2.jpg</t>
  </si>
  <si>
    <t>NN80-358</t>
  </si>
  <si>
    <t>NN80-358.jpg</t>
  </si>
  <si>
    <t>Mylonitic K-feldspar megacrystic granodiorite</t>
  </si>
  <si>
    <t>NN80-360</t>
  </si>
  <si>
    <t>NN80-360.2.jpg</t>
  </si>
  <si>
    <t>Isoclinal folds and thrust surface</t>
  </si>
  <si>
    <t>NN80-360.1.jpg</t>
  </si>
  <si>
    <t>Amphibolite dyke discordantly intruding mylonitic K-feldspar megacrystic granodiorite</t>
  </si>
  <si>
    <t>NN84-028</t>
  </si>
  <si>
    <t>NN84-028.jpg</t>
  </si>
  <si>
    <t>Metatexitic rock with remnants of psammitic protolith</t>
  </si>
  <si>
    <t>NN84-032.1.jpg</t>
  </si>
  <si>
    <t>Deformed anorthosite</t>
  </si>
  <si>
    <t>AL78-019</t>
  </si>
  <si>
    <t>AL78-019.2.jpg</t>
  </si>
  <si>
    <t>Migmatitic structures</t>
  </si>
  <si>
    <t>AL78-019.1.jpg</t>
  </si>
  <si>
    <t>Gabbro layers bounded by granite</t>
  </si>
  <si>
    <t>AL78-022</t>
  </si>
  <si>
    <t>AL78-022.jpg</t>
  </si>
  <si>
    <t>Aillik Group schistose amphibolite</t>
  </si>
  <si>
    <t>VN93-696</t>
  </si>
  <si>
    <t>VN93-696.jpg</t>
  </si>
  <si>
    <t>Plagioclase-phyric amphibolite</t>
  </si>
  <si>
    <t>VN93-718</t>
  </si>
  <si>
    <t>VN93-718.jpg</t>
  </si>
  <si>
    <t>Coarse-grained, unrecrystallized Long Rang dyke</t>
  </si>
  <si>
    <t>VN93-721</t>
  </si>
  <si>
    <t>VN93-721.jpg</t>
  </si>
  <si>
    <t>Strongly foliated diorite/leucoamphibolite</t>
  </si>
  <si>
    <t>VN95-006</t>
  </si>
  <si>
    <t>VN95-006.2.jpg</t>
  </si>
  <si>
    <t>Massive. recrystallized gabbronorite</t>
  </si>
  <si>
    <t>VN95-006.1.jpg</t>
  </si>
  <si>
    <t>Massive. recrystallized leucogabbronorite</t>
  </si>
  <si>
    <t>VN95-008</t>
  </si>
  <si>
    <t>VN95-008.1.jpg</t>
  </si>
  <si>
    <t>Garnet-bearing granodioritic gneiss</t>
  </si>
  <si>
    <t>VN95-008.2.jpg</t>
  </si>
  <si>
    <t>Z-fold in garnet-bearing granodiorite gneiss</t>
  </si>
  <si>
    <t>VN95-008.3.jpg</t>
  </si>
  <si>
    <t>DD91-016</t>
  </si>
  <si>
    <t>DD91-016.2.jpg</t>
  </si>
  <si>
    <t>Gabbro enclave in granite</t>
  </si>
  <si>
    <t>DD91-017</t>
  </si>
  <si>
    <t>DD91-017.1.jpg</t>
  </si>
  <si>
    <t>DD91-017.2.jpg</t>
  </si>
  <si>
    <t>DD91-018</t>
  </si>
  <si>
    <t>DD91-018.jpg</t>
  </si>
  <si>
    <t>Granulite facies gabbronorite</t>
  </si>
  <si>
    <t>DD91-037.6.jpg</t>
  </si>
  <si>
    <t>RG80-107</t>
  </si>
  <si>
    <t>RG80-107.jpg</t>
  </si>
  <si>
    <t>Clotty hornblende gabbro</t>
  </si>
  <si>
    <t>VN93-596</t>
  </si>
  <si>
    <t>VN93-596.2.jpg</t>
  </si>
  <si>
    <t>Migmatized calc-silicate gneiss</t>
  </si>
  <si>
    <t>VN93-597</t>
  </si>
  <si>
    <t>VN93-597.1.jpg</t>
  </si>
  <si>
    <t>Amphibolite with quartz monzonite net veins</t>
  </si>
  <si>
    <t>VN93-597.2.jpg</t>
  </si>
  <si>
    <t>VN93-600</t>
  </si>
  <si>
    <t>VN93-600.1.jpg</t>
  </si>
  <si>
    <t>Well-banded calc-silicate rock of probable metavolcanic origin</t>
  </si>
  <si>
    <t>VN93-600.2.jpg</t>
  </si>
  <si>
    <t>Calc-silicate gneiss intruded by moderately foliated quartz monzonite</t>
  </si>
  <si>
    <t>VN93-601.1.jpg</t>
  </si>
  <si>
    <t>Weakly foliated Upper Beaver Brook quartz monzonite</t>
  </si>
  <si>
    <t>VN93-660</t>
  </si>
  <si>
    <t>VN93-660.3.jpg</t>
  </si>
  <si>
    <t>Plagioclase-phyric mafic dyke; paleomag. site</t>
  </si>
  <si>
    <t>VN93-661.2.jpg</t>
  </si>
  <si>
    <t>Mafic dyke; paleomag. site</t>
  </si>
  <si>
    <t>VN93-661.1.jpg</t>
  </si>
  <si>
    <t>VN93-662.07.jpg</t>
  </si>
  <si>
    <t>Mafic dyke, deformed (or just jogged? - CFG)</t>
  </si>
  <si>
    <t>CG86-195</t>
  </si>
  <si>
    <t>CG86-195.jpg</t>
  </si>
  <si>
    <t>Biotite granodiorite intruded by fresh diabase dykes (Gilbert Bay dyke)</t>
  </si>
  <si>
    <t>CG84-381</t>
  </si>
  <si>
    <t>CG84-381.4.jpg</t>
  </si>
  <si>
    <t>Reaction rim between monzonite and micronorite in White Bear Arm complex</t>
  </si>
  <si>
    <t>CG84-381.5.jpg</t>
  </si>
  <si>
    <t>Enclave of micronorite in monzonite of White Bear Arm complex</t>
  </si>
  <si>
    <t>CG84-400</t>
  </si>
  <si>
    <t>CG84-400.jpg</t>
  </si>
  <si>
    <t>Mylonitized granitoid(?) rock</t>
  </si>
  <si>
    <t>CG84-415</t>
  </si>
  <si>
    <t>CG84-415.jpg</t>
  </si>
  <si>
    <t>Mafic granulite intruded by pegmatite veins</t>
  </si>
  <si>
    <t>CG87-488.19.jpg</t>
  </si>
  <si>
    <t>Amazonite at Battle Island</t>
  </si>
  <si>
    <t>CG07-110.4.jpg</t>
  </si>
  <si>
    <t>CG07-110.5.jpg</t>
  </si>
  <si>
    <t>CG81-593.1.jpg</t>
  </si>
  <si>
    <t>Mealy Mountains in cloud and Mealy dykes</t>
  </si>
  <si>
    <t>CG84-436.07.jpg</t>
  </si>
  <si>
    <t>CHW and US</t>
  </si>
  <si>
    <t>CG84-436.02.jpg</t>
  </si>
  <si>
    <t>GF81-167.1.jpg</t>
  </si>
  <si>
    <t>VN91-423</t>
  </si>
  <si>
    <t>VN91-423.2.jpg</t>
  </si>
  <si>
    <t>CG81-381</t>
  </si>
  <si>
    <t>CG81-381.jpg</t>
  </si>
  <si>
    <t>Hornblende biotite granodiorite/diorite gneiss, migmatized</t>
  </si>
  <si>
    <t>CG81-383</t>
  </si>
  <si>
    <t>CG81-383.jpg</t>
  </si>
  <si>
    <t>Hare Harbour tonalite/granodiorite gneiss</t>
  </si>
  <si>
    <t>VN91-248</t>
  </si>
  <si>
    <t>VN91-248.jpg</t>
  </si>
  <si>
    <t>Step-structure K-feldspar from pegmatite intruding granodiorite/ quartz diorite gneiss</t>
  </si>
  <si>
    <t>VO81-364</t>
  </si>
  <si>
    <t>VO81-364.2.jpg</t>
  </si>
  <si>
    <t>81-14</t>
  </si>
  <si>
    <t>Foliated diorite with pegmatite</t>
  </si>
  <si>
    <t>VO81-364.1.jpg</t>
  </si>
  <si>
    <t>VO81-457</t>
  </si>
  <si>
    <t>VO81-457.jpg</t>
  </si>
  <si>
    <t>K-feldspar megacrystic biotite hornblende granodiorite</t>
  </si>
  <si>
    <t>VO81-458</t>
  </si>
  <si>
    <t>VO81-458.jpg</t>
  </si>
  <si>
    <t>Non-megacrystic biotite hornblende granodiorite</t>
  </si>
  <si>
    <t>VO81-459</t>
  </si>
  <si>
    <t>VO81-459.jpg</t>
  </si>
  <si>
    <t>Garnetiferous, in-situ leucosome in biotite granodiorite</t>
  </si>
  <si>
    <t>RG80-133.05.jpg</t>
  </si>
  <si>
    <t>RG80-135</t>
  </si>
  <si>
    <t>RG80-135.jpg</t>
  </si>
  <si>
    <t>Metasomatised hornblende quartz diorite/granodiorite</t>
  </si>
  <si>
    <t>CG80-050.1.jpg</t>
  </si>
  <si>
    <t>Tourmaline in pegmatite intruding metagabbro</t>
  </si>
  <si>
    <t>CG00-284</t>
  </si>
  <si>
    <t>CG00-284.2.jpg</t>
  </si>
  <si>
    <t>Psammitic or granodioritic gneiss</t>
  </si>
  <si>
    <t>CG00-284.3.jpg</t>
  </si>
  <si>
    <t>VN87-328</t>
  </si>
  <si>
    <t>VN87-328.2.jpg</t>
  </si>
  <si>
    <t>Strongly foliated granodiorite intruded by concordant amphibolite dyke</t>
  </si>
  <si>
    <t>GF81-023</t>
  </si>
  <si>
    <t>GF81-023.jpg</t>
  </si>
  <si>
    <t>Trunmore Bay</t>
  </si>
  <si>
    <t>VO81-548</t>
  </si>
  <si>
    <t>VO81-548.1.jpg</t>
  </si>
  <si>
    <t>Tonalitic dyke</t>
  </si>
  <si>
    <t>VO81-548.3.jpg</t>
  </si>
  <si>
    <t>Tonalitic dyke discordantly intruding leucosome in diorite</t>
  </si>
  <si>
    <t>VO81-548.4.jpg</t>
  </si>
  <si>
    <t>Amphibolite-diorite gneiss</t>
  </si>
  <si>
    <t>VO81-548.5.jpg</t>
  </si>
  <si>
    <t>VO81-548.6.jpg</t>
  </si>
  <si>
    <t>Amphibolite back-veined by diorite</t>
  </si>
  <si>
    <t>VO81-548.2.jpg</t>
  </si>
  <si>
    <t>CG98-219</t>
  </si>
  <si>
    <t>CG98-219.jpg</t>
  </si>
  <si>
    <t>98-02</t>
  </si>
  <si>
    <t>Metamorphosed melagabbro/ultramafite intruded by pegmatite</t>
  </si>
  <si>
    <t>CG98-220</t>
  </si>
  <si>
    <t>CG98-220.jpg</t>
  </si>
  <si>
    <t>Pegmatite and microgranite veins</t>
  </si>
  <si>
    <t>CG98-229</t>
  </si>
  <si>
    <t>CG98-229.jpg</t>
  </si>
  <si>
    <t>Monzonite with enclaves of two-pyroxene mafic granulite</t>
  </si>
  <si>
    <t>CG98-232</t>
  </si>
  <si>
    <t>CG98-232.jpg</t>
  </si>
  <si>
    <t>Clusters of magnetite in anorthosite</t>
  </si>
  <si>
    <t>SN86-340.2.jpg</t>
  </si>
  <si>
    <t>CG87-488.22.jpg</t>
  </si>
  <si>
    <t>CG87-488.20.jpg</t>
  </si>
  <si>
    <t>Amazonite in boudinaged pegmatite at Battle Island</t>
  </si>
  <si>
    <t>CG86-544.2.jpg</t>
  </si>
  <si>
    <t>RG80-009.3.jpg</t>
  </si>
  <si>
    <t>Boudinaged amphibolite with granodiorite gneiss</t>
  </si>
  <si>
    <t>RG80-011</t>
  </si>
  <si>
    <t>RG80-011.2.jpg</t>
  </si>
  <si>
    <t>Isoclinally folded thin amphibolite in K-feldspar megacrystic granodiorite</t>
  </si>
  <si>
    <t>CG86-692</t>
  </si>
  <si>
    <t>CG86-692.2.jpg</t>
  </si>
  <si>
    <t>Satellite granitic dyke of Gilbert Bay pluton intruding K-feldspar megacrystic granodiorite</t>
  </si>
  <si>
    <t>CG86-692.4.jpg</t>
  </si>
  <si>
    <t>Enclaves in Gilbert Bay pluton</t>
  </si>
  <si>
    <t>VN91-233.4.jpg</t>
  </si>
  <si>
    <t>NOV 91I</t>
  </si>
  <si>
    <t>VN95-103.1.jpg</t>
  </si>
  <si>
    <t>MN86-285</t>
  </si>
  <si>
    <t>MN86-285.6.jpg</t>
  </si>
  <si>
    <t>Planar pegmatite intruding K-feldspar megacrystic granodiorite gneiss</t>
  </si>
  <si>
    <t>MN86-285.4.jpg</t>
  </si>
  <si>
    <t>Pegmatite intruding strongly deformed augen gneiss</t>
  </si>
  <si>
    <t>MN86-285.5.jpg</t>
  </si>
  <si>
    <t>Dextral(?) rotation of K-feldspar porphyroclast</t>
  </si>
  <si>
    <t>MN86-285.2.jpg</t>
  </si>
  <si>
    <t>Hornblende porphyroblast in leucosome in granodioritic gneiss</t>
  </si>
  <si>
    <t>MN86-285.3.jpg</t>
  </si>
  <si>
    <t>K-feldspar megacrystic granodiorite gneiss with granite and amphibolite</t>
  </si>
  <si>
    <t>MN86-285.1.jpg</t>
  </si>
  <si>
    <t>Cuspate contact between K-feldspar megacrystic granodiorite and granitic material</t>
  </si>
  <si>
    <t>MN86-301</t>
  </si>
  <si>
    <t>MN86-301.jpg</t>
  </si>
  <si>
    <t>Hornblende-rich enclave in hornblende-biotite diorite</t>
  </si>
  <si>
    <t>MN86-302</t>
  </si>
  <si>
    <t>MN86-302.jpg</t>
  </si>
  <si>
    <t>Agmatitic amphibolite pods in hornblende diorite</t>
  </si>
  <si>
    <t>MN86-304</t>
  </si>
  <si>
    <t>MN86-304.jpg</t>
  </si>
  <si>
    <t>Hornblende diorite gneiss</t>
  </si>
  <si>
    <t>VN92-098</t>
  </si>
  <si>
    <t>VN92-098.jpg</t>
  </si>
  <si>
    <t>JS87-471</t>
  </si>
  <si>
    <t>JS87-471.jpg</t>
  </si>
  <si>
    <t>JS87-485</t>
  </si>
  <si>
    <t>JS87-485.jpg</t>
  </si>
  <si>
    <t>Homogeneous biotite granite</t>
  </si>
  <si>
    <t>JS87-493</t>
  </si>
  <si>
    <t>JS87-493.jpg</t>
  </si>
  <si>
    <t>CG85-428</t>
  </si>
  <si>
    <t>CG85-428.jpg</t>
  </si>
  <si>
    <t>Sillimanite muscovite metasedimentary gneiss</t>
  </si>
  <si>
    <t>CG85-434</t>
  </si>
  <si>
    <t>CG85-434.jpg</t>
  </si>
  <si>
    <t>Contact between metasedimentary gneiss and granite</t>
  </si>
  <si>
    <t>CG85-435</t>
  </si>
  <si>
    <t>CG85-435.jpg</t>
  </si>
  <si>
    <t>Interlayered amphibolite and metasedimentary gneiss intruded by pegmatite</t>
  </si>
  <si>
    <t>CG85-437</t>
  </si>
  <si>
    <t>CG85-437.jpg</t>
  </si>
  <si>
    <t>CG85-445</t>
  </si>
  <si>
    <t>CG85-445.3.jpg</t>
  </si>
  <si>
    <t>Sea urchins</t>
  </si>
  <si>
    <t>CG85-445.2.jpg</t>
  </si>
  <si>
    <t>Enclave of amphibolite in megacrystic granite</t>
  </si>
  <si>
    <t>CG85-445.1.jpg</t>
  </si>
  <si>
    <t>Enclave of coarse-grained megacrystic granite in fine-grained megacrystic granite</t>
  </si>
  <si>
    <t>AL78-284.1.jpg</t>
  </si>
  <si>
    <t>Benedict granite intruding Aillik Group rhyolitic tuff</t>
  </si>
  <si>
    <t>CC87-059</t>
  </si>
  <si>
    <t>CC87-059.jpg</t>
  </si>
  <si>
    <t>Mafic band in gneiss with granitic veins</t>
  </si>
  <si>
    <t>CC87-072</t>
  </si>
  <si>
    <t>CC87-072.jpg</t>
  </si>
  <si>
    <t>87-15</t>
  </si>
  <si>
    <t>Microgranite intruding foliated granite</t>
  </si>
  <si>
    <t>CC87-088</t>
  </si>
  <si>
    <t>CC87-088.jpg</t>
  </si>
  <si>
    <t>87-19</t>
  </si>
  <si>
    <t>SEP 87T09</t>
  </si>
  <si>
    <t>Pegmatitic vein with amphibolite enclaves</t>
  </si>
  <si>
    <t>CC87-100.1.jpg</t>
  </si>
  <si>
    <t>CC87-113</t>
  </si>
  <si>
    <t>CC87-113.2.jpg</t>
  </si>
  <si>
    <t>Hornblende granite gneiss</t>
  </si>
  <si>
    <t>CC87-113.1.jpg</t>
  </si>
  <si>
    <t>Gneiss intruded by granitoid dyke</t>
  </si>
  <si>
    <t>RG80-133.10.jpg</t>
  </si>
  <si>
    <t>NN80-020.3.jpg</t>
  </si>
  <si>
    <t>Small fault in shear surface</t>
  </si>
  <si>
    <t>NN80-020.2.jpg</t>
  </si>
  <si>
    <t>Drag fold in amphibolitic to granodioritic gneiss</t>
  </si>
  <si>
    <t>NN80-020.4.jpg</t>
  </si>
  <si>
    <t>CG85-520</t>
  </si>
  <si>
    <t>CG85-520.2.jpg</t>
  </si>
  <si>
    <t>Well-banded biotite tonalite/granodiorite gneiss, mylonitic</t>
  </si>
  <si>
    <t>CG85-520.3.jpg</t>
  </si>
  <si>
    <t>CG85-520.4.jpg</t>
  </si>
  <si>
    <t>CG85-520.1.jpg</t>
  </si>
  <si>
    <t>CG85-526</t>
  </si>
  <si>
    <t>CG85-526.2.jpg</t>
  </si>
  <si>
    <t>Mafic dyke intruding granitic dyke</t>
  </si>
  <si>
    <t>CG85-526.1.jpg</t>
  </si>
  <si>
    <t>CG85-529.1.jpg</t>
  </si>
  <si>
    <t>Hornblende quartz diorite intruded by microgranite and the mafic dyke</t>
  </si>
  <si>
    <t>VN92-155</t>
  </si>
  <si>
    <t>VN92-155.jpg</t>
  </si>
  <si>
    <t>Hornblende-bearing segregations in foliated granite</t>
  </si>
  <si>
    <t>VN92-158</t>
  </si>
  <si>
    <t>VN92-158.2.jpg</t>
  </si>
  <si>
    <t>Interlayered amphibolite and granite</t>
  </si>
  <si>
    <t>VN92-158.3.jpg</t>
  </si>
  <si>
    <t>VN92-158.4.jpg</t>
  </si>
  <si>
    <t>Folded interlayered amphibolite and granite</t>
  </si>
  <si>
    <t>VN92-158.5.jpg</t>
  </si>
  <si>
    <t>CG79-152</t>
  </si>
  <si>
    <t>CG79-152.jpg</t>
  </si>
  <si>
    <t>Rafts of inhomogeneous tonalite in massive medium-grained granitoid rock</t>
  </si>
  <si>
    <t>CG80-127</t>
  </si>
  <si>
    <t>CG80-127.2.jpg</t>
  </si>
  <si>
    <t>Quartz veining at brittle-ductile transition</t>
  </si>
  <si>
    <t>VN85-416.5.jpg</t>
  </si>
  <si>
    <t>Layering in monzonite/gabbro</t>
  </si>
  <si>
    <t>VN85-416.3.jpg</t>
  </si>
  <si>
    <t>Melagabbro/amphibolite</t>
  </si>
  <si>
    <t>VN85-416.4.jpg</t>
  </si>
  <si>
    <t>CG97-092.2.jpg</t>
  </si>
  <si>
    <t>Detail of texture in leuconorite</t>
  </si>
  <si>
    <t>CG97-094</t>
  </si>
  <si>
    <t>CG97-094.jpg</t>
  </si>
  <si>
    <t>Eagle River 5</t>
  </si>
  <si>
    <t>CG97-100</t>
  </si>
  <si>
    <t>CG97-100.jpg</t>
  </si>
  <si>
    <t>Eagle River 7</t>
  </si>
  <si>
    <t>CG97-112</t>
  </si>
  <si>
    <t>CG97-112.1.jpg</t>
  </si>
  <si>
    <t>Diabasic texture in Mealy(?) dyke</t>
  </si>
  <si>
    <t>CG93-268.3.jpg</t>
  </si>
  <si>
    <t>CG93-268.7.jpg</t>
  </si>
  <si>
    <t>Mafic dyke containing felsic veinlets in supracrustal rocks</t>
  </si>
  <si>
    <t>JS87-498.1.jpg</t>
  </si>
  <si>
    <t>Strongly foliated granitoid rock containing amphibolite blocks</t>
  </si>
  <si>
    <t>JS87-498.2.jpg</t>
  </si>
  <si>
    <t>CG97-133</t>
  </si>
  <si>
    <t>CG97-133.jpg</t>
  </si>
  <si>
    <t>Biotite granitic gneiss</t>
  </si>
  <si>
    <t>CG97-153</t>
  </si>
  <si>
    <t>CG97-153.jpg</t>
  </si>
  <si>
    <t>CG93-250.2.jpg</t>
  </si>
  <si>
    <t>CG93-253</t>
  </si>
  <si>
    <t>CG93-253.jpg</t>
  </si>
  <si>
    <t>Chloritized biotite granite</t>
  </si>
  <si>
    <t>CG93-255</t>
  </si>
  <si>
    <t>CG93-255.jpg</t>
  </si>
  <si>
    <t>Refolded fabric in granite</t>
  </si>
  <si>
    <t>CG93-257</t>
  </si>
  <si>
    <t>CG93-257.jpg</t>
  </si>
  <si>
    <t>CG93-259</t>
  </si>
  <si>
    <t>CG93-259.1.jpg</t>
  </si>
  <si>
    <t>Bradore Formation capped by Forteau Formation</t>
  </si>
  <si>
    <t>CG93-259.2.jpg</t>
  </si>
  <si>
    <t>Banded amphibolite in supracrustal unit</t>
  </si>
  <si>
    <t>CG93-260</t>
  </si>
  <si>
    <t>CG93-260.jpg</t>
  </si>
  <si>
    <t>Folding in supracrustal rocks</t>
  </si>
  <si>
    <t>CG81-319</t>
  </si>
  <si>
    <t>CG81-319.jpg</t>
  </si>
  <si>
    <t>CG81-322</t>
  </si>
  <si>
    <t>CG81-322.jpg</t>
  </si>
  <si>
    <t>CG81-328</t>
  </si>
  <si>
    <t>CG81-328.jpg</t>
  </si>
  <si>
    <t>Sir Robert Bond (possibly) vessel SW of Black Island</t>
  </si>
  <si>
    <t>CG81-335</t>
  </si>
  <si>
    <t>CG81-335.jpg</t>
  </si>
  <si>
    <t>GM85-497.3.jpg</t>
  </si>
  <si>
    <t>GM85-548</t>
  </si>
  <si>
    <t>GM85-548.1.jpg</t>
  </si>
  <si>
    <t>Biotite granodiorite gneiss intruded by syenite/granite; same locality as CG85-654</t>
  </si>
  <si>
    <t>VN91-180.1.jpg</t>
  </si>
  <si>
    <t>VN91-180.5.jpg</t>
  </si>
  <si>
    <t>VN91-180.6.jpg</t>
  </si>
  <si>
    <t>Hornblende/clinopyroxene crystals in Alexis River anorthosite</t>
  </si>
  <si>
    <t>CG79-789.2.jpg</t>
  </si>
  <si>
    <t>CG79-789.4.jpg</t>
  </si>
  <si>
    <t>CG84-373</t>
  </si>
  <si>
    <t>CG84-373.jpg</t>
  </si>
  <si>
    <t>Paradise Arm monzogranite pluton</t>
  </si>
  <si>
    <t>CG84-381.1.jpg</t>
  </si>
  <si>
    <t>White Bear Arm monzonite intruding micronorite</t>
  </si>
  <si>
    <t>CG93-034.2.jpg</t>
  </si>
  <si>
    <t>Quenched plagioclase in mafic dyke</t>
  </si>
  <si>
    <t>CG93-034.5.jpg</t>
  </si>
  <si>
    <t>VN91-251</t>
  </si>
  <si>
    <t>VN91-251.1.jpg</t>
  </si>
  <si>
    <t>Concordant amphibolite dyke intruding hornblende biotite granodiorite</t>
  </si>
  <si>
    <t>VN91-251.2.jpg</t>
  </si>
  <si>
    <t>VN91-253</t>
  </si>
  <si>
    <t>VN91-253.2.jpg</t>
  </si>
  <si>
    <t>Biotite hornblende enclave in granodiorite gneiss</t>
  </si>
  <si>
    <t>GM85-649.6.jpg</t>
  </si>
  <si>
    <t>VN87-289.1.jpg</t>
  </si>
  <si>
    <t>Folded amphibolite dyke in well-banded sillimanite muscovite metasedimentary gneiss</t>
  </si>
  <si>
    <t>CG86-181</t>
  </si>
  <si>
    <t>CG86-181.jpg</t>
  </si>
  <si>
    <t>Banded orthogneiss derived from K-feldspar megacrystic granodiorite</t>
  </si>
  <si>
    <t>CG80-104</t>
  </si>
  <si>
    <t>CG80-104.2.jpg</t>
  </si>
  <si>
    <t>Garnet at margin of amphibolite blocks where in contact with leucosome</t>
  </si>
  <si>
    <t>CG80-104.1.jpg</t>
  </si>
  <si>
    <t>Quartz diorite intruded by mafic dyke</t>
  </si>
  <si>
    <t>CG80-111</t>
  </si>
  <si>
    <t>CG80-111.jpg</t>
  </si>
  <si>
    <t>Hornblende quartz diorite with minor leucosome</t>
  </si>
  <si>
    <t>CG80-113</t>
  </si>
  <si>
    <t>CG80-113.2.jpg</t>
  </si>
  <si>
    <t>AH</t>
  </si>
  <si>
    <t>RG80-186</t>
  </si>
  <si>
    <t>RG80-186.jpg</t>
  </si>
  <si>
    <t>RG80-191</t>
  </si>
  <si>
    <t>RG80-191.3.jpg</t>
  </si>
  <si>
    <t>Banded amphibolite in K-feldspar megacrystic granodiorite</t>
  </si>
  <si>
    <t>RG80-191.2.jpg</t>
  </si>
  <si>
    <t>Chilled margin of amphibolite dyke in K-feldspar megacrystic granodiorite</t>
  </si>
  <si>
    <t>RG80-191.1.jpg</t>
  </si>
  <si>
    <t>Discontinuous amphibolite band in K-feldspar megacrystic granodiorite</t>
  </si>
  <si>
    <t>VN84-452</t>
  </si>
  <si>
    <t>VN84-452.3.jpg</t>
  </si>
  <si>
    <t>Migmatitic sillimanite metasedimentary gneiss</t>
  </si>
  <si>
    <t>VN84-452.2.jpg</t>
  </si>
  <si>
    <t>VN84-457</t>
  </si>
  <si>
    <t>VN84-457.jpg</t>
  </si>
  <si>
    <t>Amphibolite enclave/dyke in garnet granodiorite gneiss</t>
  </si>
  <si>
    <t>VN95-175</t>
  </si>
  <si>
    <t>VN95-175.5.jpg</t>
  </si>
  <si>
    <t>Fine-grained, deformed mafic dyke remnant(?) in monzonite</t>
  </si>
  <si>
    <t>VN95-175.3.jpg</t>
  </si>
  <si>
    <t>Amphibolite lenses in monzonite</t>
  </si>
  <si>
    <t>VN95-175.2.jpg</t>
  </si>
  <si>
    <t>VN95-175.1.jpg</t>
  </si>
  <si>
    <t>VO81-089</t>
  </si>
  <si>
    <t>VO81-089.1.jpg</t>
  </si>
  <si>
    <t>Amphibolite infiltrated by leucosome</t>
  </si>
  <si>
    <t>CG81-748</t>
  </si>
  <si>
    <t>CG81-748.2.jpg</t>
  </si>
  <si>
    <t>Tonalite/granodiorite gneiss between gabbro boudins</t>
  </si>
  <si>
    <t>VN93-032</t>
  </si>
  <si>
    <t>VN93-032.jpg</t>
  </si>
  <si>
    <t>Fine-grained gabbroic zone in Red Bay gabbronorite</t>
  </si>
  <si>
    <t>JS87-262</t>
  </si>
  <si>
    <t>JS87-262.jpg</t>
  </si>
  <si>
    <t>Contact between diorite and granite</t>
  </si>
  <si>
    <t>VN93-095.1.jpg</t>
  </si>
  <si>
    <t>Garnet in rocks of suspected felsic volcanic origin</t>
  </si>
  <si>
    <t>VN93-095.2.jpg</t>
  </si>
  <si>
    <t>Garnet pod in rocks of suspected felsic volcanic origin</t>
  </si>
  <si>
    <t>CG84-147</t>
  </si>
  <si>
    <t>CG84-147.3.jpg</t>
  </si>
  <si>
    <t>Banded amphibolite intruded by coarse-grained metagabbro</t>
  </si>
  <si>
    <t>CG84-147.2.jpg</t>
  </si>
  <si>
    <t>Amphibolitic gneiss associated with coarse-grained metagabbro</t>
  </si>
  <si>
    <t>CG84-147.1.jpg</t>
  </si>
  <si>
    <t>Coarse-grained metagabbro</t>
  </si>
  <si>
    <t>CG84-153</t>
  </si>
  <si>
    <t>CG84-153.1.jpg</t>
  </si>
  <si>
    <t>Quartz-feldspar diatexite(?)</t>
  </si>
  <si>
    <t>CG84-153.2.jpg</t>
  </si>
  <si>
    <t>Amphibolite in quartzofeldspathic gneiss</t>
  </si>
  <si>
    <t>CG84-155</t>
  </si>
  <si>
    <t>CG84-155.jpg</t>
  </si>
  <si>
    <t>Gossanous metasedimentary gneiss</t>
  </si>
  <si>
    <t>CG97-299</t>
  </si>
  <si>
    <t>CG97-299.2.jpg</t>
  </si>
  <si>
    <t>Enclave in late- to post-Grenvillian granite</t>
  </si>
  <si>
    <t>CG97-299.1.jpg</t>
  </si>
  <si>
    <t>Texture in late- to post-Grenvillian granite</t>
  </si>
  <si>
    <t>VN91-020.3.jpg</t>
  </si>
  <si>
    <t>S-fold in quartz diorite gneiss</t>
  </si>
  <si>
    <t>VN91-020.5.jpg</t>
  </si>
  <si>
    <t>Mafic-mineral-rich lens in quartz diorite gneiss</t>
  </si>
  <si>
    <t>CG79-759</t>
  </si>
  <si>
    <t>CG79-759.1.jpg</t>
  </si>
  <si>
    <t>Open folding in tonalite/granodiorite gneiss</t>
  </si>
  <si>
    <t>CG04-278</t>
  </si>
  <si>
    <t>CG04-278.5.jpg</t>
  </si>
  <si>
    <t>Cartwright, looking N</t>
  </si>
  <si>
    <t>AD79-295.3.jpg</t>
  </si>
  <si>
    <t>AD79-295.4.jpg</t>
  </si>
  <si>
    <t>Gneiss banding in tonalite to granodiorite gneiss</t>
  </si>
  <si>
    <t>AD79-302</t>
  </si>
  <si>
    <t>AD79-302.jpg</t>
  </si>
  <si>
    <t>Well foliated quartz monzonite</t>
  </si>
  <si>
    <t>VN93-218.2.jpg</t>
  </si>
  <si>
    <t>VN93-219</t>
  </si>
  <si>
    <t>VN93-219.3.jpg</t>
  </si>
  <si>
    <t>Enclave of megacrystic granite in coarse-grained granite</t>
  </si>
  <si>
    <t>CG04-197</t>
  </si>
  <si>
    <t>CG04-197.3.jpg</t>
  </si>
  <si>
    <t>Paradise River</t>
  </si>
  <si>
    <t>CG04-197.1.jpg</t>
  </si>
  <si>
    <t>Poplars</t>
  </si>
  <si>
    <t>CG04-197.2.jpg</t>
  </si>
  <si>
    <t>MN86-016</t>
  </si>
  <si>
    <t>MN86-016.jpg</t>
  </si>
  <si>
    <t>MN86-026</t>
  </si>
  <si>
    <t>MN86-026.jpg</t>
  </si>
  <si>
    <t>Granitic layers in garnet-bearing metasedimentary gneiss</t>
  </si>
  <si>
    <t>MN86-028</t>
  </si>
  <si>
    <t>MN86-028.2.jpg</t>
  </si>
  <si>
    <t>Granitic vein in metasedimentary gneiss</t>
  </si>
  <si>
    <t>MN86-028.1.jpg</t>
  </si>
  <si>
    <t>Diatexite pod</t>
  </si>
  <si>
    <t>CG04-023</t>
  </si>
  <si>
    <t>CG04-023.jpg</t>
  </si>
  <si>
    <t>Orthopyroxene in leucosome pod in amphibolite</t>
  </si>
  <si>
    <t>CG04-025</t>
  </si>
  <si>
    <t>CG04-025.jpg</t>
  </si>
  <si>
    <t>Mylonitized pelitic gneiss</t>
  </si>
  <si>
    <t>VN91-246</t>
  </si>
  <si>
    <t>VN91-246.jpg</t>
  </si>
  <si>
    <t>Strongly foliated to gneissic granite</t>
  </si>
  <si>
    <t>CG93-731</t>
  </si>
  <si>
    <t>CG93-731.2.jpg</t>
  </si>
  <si>
    <t>Shapes in  granodiorite to quartz diorite; enclaves?</t>
  </si>
  <si>
    <t>CG98-098</t>
  </si>
  <si>
    <t>CG98-098.1.jpg</t>
  </si>
  <si>
    <t>Rapids northwest of Crooks Lake</t>
  </si>
  <si>
    <t>MC77-127</t>
  </si>
  <si>
    <t>MC77-127.2.jpg</t>
  </si>
  <si>
    <t>Pegmatite intruding granitic - amphibolitic gneiss</t>
  </si>
  <si>
    <t>VN93-593.2.jpg</t>
  </si>
  <si>
    <t>NN84-240</t>
  </si>
  <si>
    <t>NN84-240.jpg</t>
  </si>
  <si>
    <t>84-11</t>
  </si>
  <si>
    <t>Amphibolite intruding Alexis River anorthosite</t>
  </si>
  <si>
    <t>NN84-247</t>
  </si>
  <si>
    <t>NN84-247.3.jpg</t>
  </si>
  <si>
    <t>Strongly rodded anorthositic gabbro</t>
  </si>
  <si>
    <t>NN84-247.4.jpg</t>
  </si>
  <si>
    <t>Marginal granodiorite characterized by high background radioactivity</t>
  </si>
  <si>
    <t>NN84-247.2.jpg</t>
  </si>
  <si>
    <t>NN80-005</t>
  </si>
  <si>
    <t>NN80-005.jpg</t>
  </si>
  <si>
    <t>Enclaves of metasedimentary(?) gneiss in granodiorite</t>
  </si>
  <si>
    <t>NN80-006</t>
  </si>
  <si>
    <t>NN80-006.jpg</t>
  </si>
  <si>
    <t>Leucosome layers in quartz diorite</t>
  </si>
  <si>
    <t>VN84-251</t>
  </si>
  <si>
    <t>VN84-251.jpg</t>
  </si>
  <si>
    <t>NN84-073</t>
  </si>
  <si>
    <t>NN84-073.2.jpg</t>
  </si>
  <si>
    <t>Garnet in meta-anorthosite</t>
  </si>
  <si>
    <t>VN95-173.1.jpg</t>
  </si>
  <si>
    <t>Weakly foliated to massive monzonite</t>
  </si>
  <si>
    <t>VN95-175.4.jpg</t>
  </si>
  <si>
    <t>Metasedimentary gneiss intruded by monzonite</t>
  </si>
  <si>
    <t>SN86-156</t>
  </si>
  <si>
    <t>SN86-156.1.jpg</t>
  </si>
  <si>
    <t>Gabbronorite with granitic vein and amphibolitic pod</t>
  </si>
  <si>
    <t>SN86-156.2.jpg</t>
  </si>
  <si>
    <t>SN86-166</t>
  </si>
  <si>
    <t>SN86-166.jpg</t>
  </si>
  <si>
    <t>Seriate to megacrystic granite possibly linked to White Bear Arm complex</t>
  </si>
  <si>
    <t>MC77-236</t>
  </si>
  <si>
    <t>MC77-236.2.jpg</t>
  </si>
  <si>
    <t>Metagabbro megaboudins</t>
  </si>
  <si>
    <t>MC77-236.1.jpg</t>
  </si>
  <si>
    <t>Tonalite/granodiorite gneiss intruded by metagabbro</t>
  </si>
  <si>
    <t>MN86-455</t>
  </si>
  <si>
    <t>MN86-455.jpg</t>
  </si>
  <si>
    <t>86-16</t>
  </si>
  <si>
    <t>Garnet metaleucogabbro</t>
  </si>
  <si>
    <t>CG83-185</t>
  </si>
  <si>
    <t>CG83-185.4.jpg</t>
  </si>
  <si>
    <t>Deformed monzonite/granodiorite and mafic dykes</t>
  </si>
  <si>
    <t>CG83-220</t>
  </si>
  <si>
    <t>CG83-220.1.jpg</t>
  </si>
  <si>
    <t>Double Mer Formation showing cross bedding</t>
  </si>
  <si>
    <t>NN84-294</t>
  </si>
  <si>
    <t>NN84-294.1.jpg</t>
  </si>
  <si>
    <t>Interlayered anorthositic and granitic gneiss</t>
  </si>
  <si>
    <t>NN84-294.2.jpg</t>
  </si>
  <si>
    <t>CG99-345</t>
  </si>
  <si>
    <t>CG99-345.jpg</t>
  </si>
  <si>
    <t>99-03</t>
  </si>
  <si>
    <t>99MN02</t>
  </si>
  <si>
    <t>Amphibolite-granite mixture</t>
  </si>
  <si>
    <t>CG86-016</t>
  </si>
  <si>
    <t>CG86-016.jpg</t>
  </si>
  <si>
    <t>Stretched mafic mineral aggregates in Alexis River anorthosite</t>
  </si>
  <si>
    <t>CG86-017</t>
  </si>
  <si>
    <t>CG86-017.3.jpg</t>
  </si>
  <si>
    <t>Dextral displacement of pegmatite in shear within Alexis River anorthosite</t>
  </si>
  <si>
    <t>CG87-563</t>
  </si>
  <si>
    <t>CG87-563.3.jpg</t>
  </si>
  <si>
    <t>Hornblende porphyroblasts in layered amphibolitic intrusion</t>
  </si>
  <si>
    <t>CG87-564</t>
  </si>
  <si>
    <t>CG87-564.1.jpg</t>
  </si>
  <si>
    <t>Granite gradational into pegmatite</t>
  </si>
  <si>
    <t>CG87-564.2.jpg</t>
  </si>
  <si>
    <t>CG87-565</t>
  </si>
  <si>
    <t>CG87-565.jpg</t>
  </si>
  <si>
    <t>Granitoid rock with discordant pegmatite</t>
  </si>
  <si>
    <t>VN92-120</t>
  </si>
  <si>
    <t>VN92-120.1.jpg</t>
  </si>
  <si>
    <t>Layering in anorthosite</t>
  </si>
  <si>
    <t>VN92-122</t>
  </si>
  <si>
    <t>VN92-122.jpg</t>
  </si>
  <si>
    <t>Monzonite</t>
  </si>
  <si>
    <t>CG04-258.3.jpg</t>
  </si>
  <si>
    <t>Black bear and cub 3</t>
  </si>
  <si>
    <t>DD91-116</t>
  </si>
  <si>
    <t>DD91-116.jpg</t>
  </si>
  <si>
    <t>Granitoid gneiss intruded by amphibolite</t>
  </si>
  <si>
    <t>DD91-121</t>
  </si>
  <si>
    <t>DD91-121.jpg</t>
  </si>
  <si>
    <t>Garnetiferous psammitic gneiss</t>
  </si>
  <si>
    <t>GF81-004</t>
  </si>
  <si>
    <t>GF81-004E.jpg</t>
  </si>
  <si>
    <t>Tonalite/granodiorite gneiss discordantly intruded by mafic dyke and pegmatite, with AW</t>
  </si>
  <si>
    <t>GF81-005</t>
  </si>
  <si>
    <t>GF81-005cropped.jpg</t>
  </si>
  <si>
    <t>Recumbent isoclinal fold in tonalite/granodiorite gneiss</t>
  </si>
  <si>
    <t>CG04-272.2.jpg</t>
  </si>
  <si>
    <t>Layering in olivine gabbro</t>
  </si>
  <si>
    <t>CG03-017</t>
  </si>
  <si>
    <t>CG03-017.jpg</t>
  </si>
  <si>
    <t>Granite containing rafts of grey gneiss</t>
  </si>
  <si>
    <t>VN93-045</t>
  </si>
  <si>
    <t>VN93-045.2.jpg</t>
  </si>
  <si>
    <t>Folded veins</t>
  </si>
  <si>
    <t>VN93-046</t>
  </si>
  <si>
    <t>VN93-046.2.jpg</t>
  </si>
  <si>
    <t>Hornblende biotite granitic gneiss</t>
  </si>
  <si>
    <t>CG03-180</t>
  </si>
  <si>
    <t>CG03-180.1.jpg</t>
  </si>
  <si>
    <t>Pegmatite with allanite and titanite</t>
  </si>
  <si>
    <t>CG03-180.2.jpg</t>
  </si>
  <si>
    <t>CG03-180.3.jpg</t>
  </si>
  <si>
    <t>Stellate mineral</t>
  </si>
  <si>
    <t>CG85-418.1.jpg</t>
  </si>
  <si>
    <t>Mafic dyke intruding leucogabbronorite/diorite; feeder to overlying gabbro</t>
  </si>
  <si>
    <t>CG91-044</t>
  </si>
  <si>
    <t>CG91-044.2.jpg</t>
  </si>
  <si>
    <t>91-01</t>
  </si>
  <si>
    <t>MAR 92E</t>
  </si>
  <si>
    <t>CG91-044.1.jpg</t>
  </si>
  <si>
    <t>Enclave of probable metasedimentary gneiss in K-feldspar megacrystic granodiorite</t>
  </si>
  <si>
    <t>CG91-047</t>
  </si>
  <si>
    <t>CG91-047.jpg</t>
  </si>
  <si>
    <t>Well-banded gneiss; either orthogneiss or psammite</t>
  </si>
  <si>
    <t>CG91-055</t>
  </si>
  <si>
    <t>CG91-055.jpg</t>
  </si>
  <si>
    <t>K-feldspar megacrystic granitoid; megacrysts up to 11 cm long</t>
  </si>
  <si>
    <t>CG91-072</t>
  </si>
  <si>
    <t>CG91-072.5.jpg</t>
  </si>
  <si>
    <t>Mafic dyke discordantly intruding foliated granite/syenite</t>
  </si>
  <si>
    <t>CG91-072.4.jpg</t>
  </si>
  <si>
    <t>Chilled margin of mafic dyke</t>
  </si>
  <si>
    <t>CG91-072.2.jpg</t>
  </si>
  <si>
    <t>GM85-503.4.jpg</t>
  </si>
  <si>
    <t>GM85-503.3.jpg</t>
  </si>
  <si>
    <t>GM85-507</t>
  </si>
  <si>
    <t>GM85-507.2.jpg</t>
  </si>
  <si>
    <t>Fine-grained black slaty rock</t>
  </si>
  <si>
    <t>VN91-272</t>
  </si>
  <si>
    <t>VN91-272.jpg</t>
  </si>
  <si>
    <t>VN91-282</t>
  </si>
  <si>
    <t>VN91-282.jpg</t>
  </si>
  <si>
    <t>VN91-287</t>
  </si>
  <si>
    <t>VN91-287.jpg</t>
  </si>
  <si>
    <t>Fine-grained granodiorite vein intruding K-feldspar megacrystic granodiorite/granite</t>
  </si>
  <si>
    <t>VN95-204</t>
  </si>
  <si>
    <t>VN95-204.2.jpg</t>
  </si>
  <si>
    <t>VN95-204.3.jpg</t>
  </si>
  <si>
    <t>CG81-001.05.jpg</t>
  </si>
  <si>
    <t>Sir Robert Bond in Cartwright 3</t>
  </si>
  <si>
    <t>VN93-367</t>
  </si>
  <si>
    <t>VN93-367.jpg</t>
  </si>
  <si>
    <t>93-16</t>
  </si>
  <si>
    <t>Amphibolite enclave intruded by host granite</t>
  </si>
  <si>
    <t>VN93-370</t>
  </si>
  <si>
    <t>VN93-370.1.jpg</t>
  </si>
  <si>
    <t>Recrystallized, foliated granite</t>
  </si>
  <si>
    <t>VN93-370.2.jpg</t>
  </si>
  <si>
    <t>VN93-384</t>
  </si>
  <si>
    <t>VN93-384.2.jpg</t>
  </si>
  <si>
    <t>Weakly foliated fine-grained monzonite intruding coarse-grained Picton Pond quartz monzonite</t>
  </si>
  <si>
    <t>VN93-208</t>
  </si>
  <si>
    <t>VN93-208.jpg</t>
  </si>
  <si>
    <t>Coarse-grained monzodiorite</t>
  </si>
  <si>
    <t>SN86-239</t>
  </si>
  <si>
    <t>SN86-239.1.jpg</t>
  </si>
  <si>
    <t>Well-banded noritic to anorthositic (Alexis River) gneiss</t>
  </si>
  <si>
    <t>SN86-247</t>
  </si>
  <si>
    <t>SN86-247.1.jpg</t>
  </si>
  <si>
    <t>Enclave of K-feldspar in granite</t>
  </si>
  <si>
    <t>NN84-236</t>
  </si>
  <si>
    <t>NN84-236.jpg</t>
  </si>
  <si>
    <t>Deformed anorthosite with wispy mafic lenses</t>
  </si>
  <si>
    <t>VO92-020</t>
  </si>
  <si>
    <t>VO92-020.2.jpg</t>
  </si>
  <si>
    <t>Discordant pegmatite; geochron. sampling site</t>
  </si>
  <si>
    <t>VO92-020.3.jpg</t>
  </si>
  <si>
    <t>Muscovite schist</t>
  </si>
  <si>
    <t>SN86-385</t>
  </si>
  <si>
    <t>SN86-385.2.jpg</t>
  </si>
  <si>
    <t>SN86-385.1.jpg</t>
  </si>
  <si>
    <t>SN86-393</t>
  </si>
  <si>
    <t>SN86-393.jpg</t>
  </si>
  <si>
    <t>Contact between granite and metasedimentary gneiss</t>
  </si>
  <si>
    <t>SN86-394</t>
  </si>
  <si>
    <t>SN86-394.1.jpg</t>
  </si>
  <si>
    <t>SN86-394.2.jpg</t>
  </si>
  <si>
    <t>SN86-396.3.jpg</t>
  </si>
  <si>
    <t>Garnet-rich metasedimentary gneiss</t>
  </si>
  <si>
    <t>SN86-396.1.jpg</t>
  </si>
  <si>
    <t>VN92-161</t>
  </si>
  <si>
    <t>VN92-161.8.jpg</t>
  </si>
  <si>
    <t>Hornblende crystals in granite near contact with Long Range dyke</t>
  </si>
  <si>
    <t>VN92-161.5.jpg</t>
  </si>
  <si>
    <t>Pyroxene crystals in granite near contact with Long Range dyke</t>
  </si>
  <si>
    <t>VN92-161.6.jpg</t>
  </si>
  <si>
    <t>VN92-201</t>
  </si>
  <si>
    <t>VN92-201.jpg</t>
  </si>
  <si>
    <t>NN84-067</t>
  </si>
  <si>
    <t>NN84-067.3.jpg</t>
  </si>
  <si>
    <t>Brittle fault breccia with JS</t>
  </si>
  <si>
    <t>CG80-323.1.jpg</t>
  </si>
  <si>
    <t>Magnetite in leucosome</t>
  </si>
  <si>
    <t>VN92-213</t>
  </si>
  <si>
    <t>VN92-213.2.jpg</t>
  </si>
  <si>
    <t>Zoned feldspar in Upper St. Paul River  (northwest) monzonite</t>
  </si>
  <si>
    <t>CG81-298</t>
  </si>
  <si>
    <t>CG81-298.1.jpg</t>
  </si>
  <si>
    <t>Iceberg at Cape North 1</t>
  </si>
  <si>
    <t>CG81-305</t>
  </si>
  <si>
    <t>CG81-305.jpg</t>
  </si>
  <si>
    <t>Whaling station at Grady Island</t>
  </si>
  <si>
    <t>CG81-306.31.jpg</t>
  </si>
  <si>
    <t>Little Grady Island</t>
  </si>
  <si>
    <t>CG81-306.07.jpg</t>
  </si>
  <si>
    <t>CG81-306.06.jpg</t>
  </si>
  <si>
    <t>CG81-306.05.jpg</t>
  </si>
  <si>
    <t>CG81-306.04.jpg</t>
  </si>
  <si>
    <t>Monzonite at top of layered unit</t>
  </si>
  <si>
    <t>CG81-306.08.jpg</t>
  </si>
  <si>
    <t>CG85-418.5.jpg</t>
  </si>
  <si>
    <t>Mafic dyke intruding enclave-bearing diorite</t>
  </si>
  <si>
    <t>CG87-004</t>
  </si>
  <si>
    <t>CG87-004.1.jpg</t>
  </si>
  <si>
    <t>Biotite K-feldspar megacrystic granodiorite intermixed with gneissic granite/granodiorite</t>
  </si>
  <si>
    <t>CG87-017</t>
  </si>
  <si>
    <t>CG87-017.jpg</t>
  </si>
  <si>
    <t>Mylonitized granite intruded by medium-grained microgranite</t>
  </si>
  <si>
    <t>CG87-035</t>
  </si>
  <si>
    <t>CG87-035.jpg</t>
  </si>
  <si>
    <t>Amphibolitic migmatite with hornblende-bearing leucosome</t>
  </si>
  <si>
    <t>DD91-110.2.jpg</t>
  </si>
  <si>
    <t>Igneous layering in Alexis River anorthosite</t>
  </si>
  <si>
    <t>GM85-629</t>
  </si>
  <si>
    <t>GM85-629.2.jpg</t>
  </si>
  <si>
    <t>Amphibolite enclaves within quartz diorite enclave within granite</t>
  </si>
  <si>
    <t>GM85-629.1.jpg</t>
  </si>
  <si>
    <t>SN86-018</t>
  </si>
  <si>
    <t>SN86-018.2.jpg</t>
  </si>
  <si>
    <t>Enclaves of migmatized mafic rock showing primary structure</t>
  </si>
  <si>
    <t>SN86-021</t>
  </si>
  <si>
    <t>SN86-021.jpg</t>
  </si>
  <si>
    <t>In situ melting in amphibolitic gneiss</t>
  </si>
  <si>
    <t>SN86-023</t>
  </si>
  <si>
    <t>SN86-023.jpg</t>
  </si>
  <si>
    <t>Enclave of pelitic (?) gneiss within granite</t>
  </si>
  <si>
    <t>SN86-031</t>
  </si>
  <si>
    <t>SN86-031.jpg</t>
  </si>
  <si>
    <t>CG80-113.1.jpg</t>
  </si>
  <si>
    <t>Garnet-bearing amphibolite and chlorite-filled shears</t>
  </si>
  <si>
    <t>CG80-113.5.jpg</t>
  </si>
  <si>
    <t>Fold behind thrust</t>
  </si>
  <si>
    <t>SN86-407</t>
  </si>
  <si>
    <t>SN86-407.2.jpg</t>
  </si>
  <si>
    <t>Z-folds in K-feldspar megacrystic granodiorite</t>
  </si>
  <si>
    <t>JA92-120</t>
  </si>
  <si>
    <t>JA92-120.1E.jpg</t>
  </si>
  <si>
    <t>Tributary joining St Paul River</t>
  </si>
  <si>
    <t>JA92-121</t>
  </si>
  <si>
    <t>JA92-121.1.jpg</t>
  </si>
  <si>
    <t>Mafic to anorthositic rock with amphibolite enclave</t>
  </si>
  <si>
    <t>CG00-290</t>
  </si>
  <si>
    <t>CG00-290.jpg</t>
  </si>
  <si>
    <t>Quartzite with pegmatitic material</t>
  </si>
  <si>
    <t>CG00-292</t>
  </si>
  <si>
    <t>CG00-292.jpg</t>
  </si>
  <si>
    <t>Quartzite and psammitic gneiss</t>
  </si>
  <si>
    <t>CG00-295</t>
  </si>
  <si>
    <t>CG00-295.jpg</t>
  </si>
  <si>
    <t>Amphibolite with melt pods</t>
  </si>
  <si>
    <t>CG95-176</t>
  </si>
  <si>
    <t>CG95-176.1.jpg</t>
  </si>
  <si>
    <t>Massive monzonite of Mealy Mountains Intrusive Suite</t>
  </si>
  <si>
    <t>NN80-004</t>
  </si>
  <si>
    <t>NN80-004.jpg</t>
  </si>
  <si>
    <t>Dextral displacement of mafic layer in granodiorite; fault occupied by pegmatite</t>
  </si>
  <si>
    <t>GM85-658</t>
  </si>
  <si>
    <t>GM85-658.1.jpg</t>
  </si>
  <si>
    <t>Gabbro - granite contact</t>
  </si>
  <si>
    <t>GM85-658.2.jpg</t>
  </si>
  <si>
    <t>VN91-020.4.jpg</t>
  </si>
  <si>
    <t>Quartz dioritic gneiss</t>
  </si>
  <si>
    <t>CG80-324</t>
  </si>
  <si>
    <t>CG80-324.jpg</t>
  </si>
  <si>
    <t>Amphibolitic mafic dyke</t>
  </si>
  <si>
    <t>CG99-327</t>
  </si>
  <si>
    <t>CG99-327.2.jpg</t>
  </si>
  <si>
    <t>K-feldspar megacrystic granitoid rock (syn-Grenvillian?)</t>
  </si>
  <si>
    <t>CG99-333</t>
  </si>
  <si>
    <t>CG99-333.jpg</t>
  </si>
  <si>
    <t>CG99-335</t>
  </si>
  <si>
    <t>CG99-335.jpg</t>
  </si>
  <si>
    <t>CG99-338</t>
  </si>
  <si>
    <t>CG99-338.jpg</t>
  </si>
  <si>
    <t>Well-banded granitic gneiss</t>
  </si>
  <si>
    <t>CG99-339</t>
  </si>
  <si>
    <t>CG99-339.1.jpg</t>
  </si>
  <si>
    <t>Hornblendite pods in leucoamphibolite</t>
  </si>
  <si>
    <t>CG99-339.2.jpg</t>
  </si>
  <si>
    <t>Leucoamphibolite</t>
  </si>
  <si>
    <t>CG99-339.3.jpg</t>
  </si>
  <si>
    <t>Amphibolite/metagabbro</t>
  </si>
  <si>
    <t>CG99-341</t>
  </si>
  <si>
    <t>CG99-341.1.jpg</t>
  </si>
  <si>
    <t>Amphibolite (pyritic) within microgranite/pegmatite dyke</t>
  </si>
  <si>
    <t>CG99-341.2.jpg</t>
  </si>
  <si>
    <t>GM85-547.1.jpg</t>
  </si>
  <si>
    <t>CG80-341</t>
  </si>
  <si>
    <t>CG80-341.jpg</t>
  </si>
  <si>
    <t>Tightly folded mafic dyke</t>
  </si>
  <si>
    <t>CG80-345</t>
  </si>
  <si>
    <t>CG80-345.6.jpg</t>
  </si>
  <si>
    <t>Deformed clastic metasedimentary gneiss</t>
  </si>
  <si>
    <t>CG80-345.4.jpg</t>
  </si>
  <si>
    <t>CG80-345.2.jpg</t>
  </si>
  <si>
    <t>CG80-345.5.jpg</t>
  </si>
  <si>
    <t>NN80-058.1.jpg</t>
  </si>
  <si>
    <t>Hornblende granodiorite gneiss</t>
  </si>
  <si>
    <t>CG87-469</t>
  </si>
  <si>
    <t>CG87-469.04.jpg</t>
  </si>
  <si>
    <t>Magnetite crystals forming in granodiorite and amphibolite</t>
  </si>
  <si>
    <t>CG87-469.03.jpg</t>
  </si>
  <si>
    <t>Mafic dyke in migmatitic granodiorite</t>
  </si>
  <si>
    <t>CG79-225</t>
  </si>
  <si>
    <t>CG79-225.2.jpg</t>
  </si>
  <si>
    <t>Pink granite intruding tonalite/granodiorite</t>
  </si>
  <si>
    <t>CG79-226</t>
  </si>
  <si>
    <t>CG79-226.1.jpg</t>
  </si>
  <si>
    <t>CG79-226.2.jpg</t>
  </si>
  <si>
    <t>VN95-094</t>
  </si>
  <si>
    <t>VN95-094.1.jpg</t>
  </si>
  <si>
    <t>Fine-grained recrystallized monzonite intruded by mafic dyke</t>
  </si>
  <si>
    <t>VN95-094.2.jpg</t>
  </si>
  <si>
    <t>VN95-097</t>
  </si>
  <si>
    <t>VN95-097.1.jpg</t>
  </si>
  <si>
    <t>Garnet cordierite metasedimentary gneiss</t>
  </si>
  <si>
    <t>VN95-097.2.jpg</t>
  </si>
  <si>
    <t>CG07-145.1.jpg</t>
  </si>
  <si>
    <t>Calc-silicate rock - psammite contact</t>
  </si>
  <si>
    <t>VN91-358.1.jpg</t>
  </si>
  <si>
    <t>VN87-335</t>
  </si>
  <si>
    <t>VN87-335.2.jpg</t>
  </si>
  <si>
    <t>Well-banded quartz plagioclase magnetite rock of possible supracrustal origin</t>
  </si>
  <si>
    <t>VN87-335.1.jpg</t>
  </si>
  <si>
    <t>VN91-247</t>
  </si>
  <si>
    <t>VN91-247.jpg</t>
  </si>
  <si>
    <t>Folding in granodiorite gneiss enclaves in foliated granodiorite</t>
  </si>
  <si>
    <t>CG81-081.2.jpg</t>
  </si>
  <si>
    <t>No identity; duplicate of 81-01, 18</t>
  </si>
  <si>
    <t>CG86-549</t>
  </si>
  <si>
    <t>CG86-549.2.jpg</t>
  </si>
  <si>
    <t>Well-banded amphibolitic gneiss</t>
  </si>
  <si>
    <t>CG86-557</t>
  </si>
  <si>
    <t>CG86-557.1.jpg</t>
  </si>
  <si>
    <t>Duck Island, White Bear Arm complex</t>
  </si>
  <si>
    <t>CG87-580.3.jpg</t>
  </si>
  <si>
    <t>Amphibolite with epidote-rich pods</t>
  </si>
  <si>
    <t>CG80-102.21.jpg</t>
  </si>
  <si>
    <t>80-23</t>
  </si>
  <si>
    <t>MAR 81T1</t>
  </si>
  <si>
    <t>Rigolet 6</t>
  </si>
  <si>
    <t>VN87-212</t>
  </si>
  <si>
    <t>VN87-212.1.jpg</t>
  </si>
  <si>
    <t>Amphibolite enclaves in granodiorite gneiss</t>
  </si>
  <si>
    <t>VN87-214</t>
  </si>
  <si>
    <t>VN87-214.jpg</t>
  </si>
  <si>
    <t>Tight Z fold in granodiorite gneiss</t>
  </si>
  <si>
    <t>VN85-652</t>
  </si>
  <si>
    <t>VN85-652.jpg</t>
  </si>
  <si>
    <t>Enclaves of tonalite gneiss in biotite granite</t>
  </si>
  <si>
    <t>VN87-013</t>
  </si>
  <si>
    <t>VN87-013.jpg</t>
  </si>
  <si>
    <t>Partially recrystallized K-feldspar megacrysts in strongly deformed granite</t>
  </si>
  <si>
    <t>VN87-014</t>
  </si>
  <si>
    <t>VN87-014.jpg</t>
  </si>
  <si>
    <t>VO81-637.1.jpg</t>
  </si>
  <si>
    <t>VO81-639</t>
  </si>
  <si>
    <t>VO81-639.jpg</t>
  </si>
  <si>
    <t>Hornblende biotite granodiorite with leucosome</t>
  </si>
  <si>
    <t>VO81-657</t>
  </si>
  <si>
    <t>VO81-657.jpg</t>
  </si>
  <si>
    <t>Migmatitic quartz diorite</t>
  </si>
  <si>
    <t>NN84-091.1.jpg</t>
  </si>
  <si>
    <t>NN84-091.3.jpg</t>
  </si>
  <si>
    <t>VN85-410</t>
  </si>
  <si>
    <t>VN85-410.3.jpg</t>
  </si>
  <si>
    <t>Amphibolite enclaves in quartz diorite gneiss</t>
  </si>
  <si>
    <t>VN85-416.2.jpg</t>
  </si>
  <si>
    <t>VN91-411.3.jpg</t>
  </si>
  <si>
    <t>CG93-119.4.jpg</t>
  </si>
  <si>
    <t>Tectonic transposition in syenite and amphibolite giving pseudo cross-bedding</t>
  </si>
  <si>
    <t>CG93-120</t>
  </si>
  <si>
    <t>CG93-120.1.jpg</t>
  </si>
  <si>
    <t>Strongly deformed layering in amphibolite</t>
  </si>
  <si>
    <t>CG93-120.2.jpg</t>
  </si>
  <si>
    <t>Detail of deformed layering in amphibolite</t>
  </si>
  <si>
    <t>CG93-122.1.jpg</t>
  </si>
  <si>
    <t>Contact of discordant mafic dyke  intruding granitoid rocks</t>
  </si>
  <si>
    <t>GM85-636</t>
  </si>
  <si>
    <t>GM85-636.6.jpg</t>
  </si>
  <si>
    <t>Amphibolite enclaves in dioritic matrix</t>
  </si>
  <si>
    <t>GM85-636.4.jpg</t>
  </si>
  <si>
    <t>Contact between diorite and biotite hornblende K-feldspar megacrystic granodiorite</t>
  </si>
  <si>
    <t>GM85-636.5.jpg</t>
  </si>
  <si>
    <t>Biotite hornblende K-feldspar megacrystic granodiorite with diorite in background</t>
  </si>
  <si>
    <t>GM85-636.2.jpg</t>
  </si>
  <si>
    <t>Stretched amphibolite enclaves in a dioritic matrix</t>
  </si>
  <si>
    <t>MC77-238.1.jpg</t>
  </si>
  <si>
    <t>Amphibolite gneiss in gabbro boudin neck</t>
  </si>
  <si>
    <t>CG84-433</t>
  </si>
  <si>
    <t>CG84-433.jpg</t>
  </si>
  <si>
    <t>Mylonitic rock with attenuated mafic dyke still preserving discordance</t>
  </si>
  <si>
    <t>CG84-435.10.jpg</t>
  </si>
  <si>
    <t>VN92-139</t>
  </si>
  <si>
    <t>VN92-139.1.jpg</t>
  </si>
  <si>
    <t>VN92-141.1.jpg</t>
  </si>
  <si>
    <t>Pegmatitic zones in coarse-grained granite</t>
  </si>
  <si>
    <t>VN92-086</t>
  </si>
  <si>
    <t>VN92-086.jpg</t>
  </si>
  <si>
    <t>Orthopyroxene- and clinopyroxene-bearing mangerite</t>
  </si>
  <si>
    <t>VN92-088</t>
  </si>
  <si>
    <t>VN92-088.jpg</t>
  </si>
  <si>
    <t>Mangerite</t>
  </si>
  <si>
    <t>VN92-095</t>
  </si>
  <si>
    <t>VN92-095.jpg</t>
  </si>
  <si>
    <t>Hornblende-bearing segregation in monzodiorite</t>
  </si>
  <si>
    <t>VN92-096</t>
  </si>
  <si>
    <t>VN92-096.2.jpg</t>
  </si>
  <si>
    <t>Recrystallized gabbronorite</t>
  </si>
  <si>
    <t>VN92-097</t>
  </si>
  <si>
    <t>VN92-097.1.jpg</t>
  </si>
  <si>
    <t>Coarse-grained granite</t>
  </si>
  <si>
    <t>CG92-113</t>
  </si>
  <si>
    <t>CG92-113.jpg</t>
  </si>
  <si>
    <t>Upper Paradise River anorthosite</t>
  </si>
  <si>
    <t>CG86-688.6.jpg</t>
  </si>
  <si>
    <t>Pegmatite in enclave within Gilbert Bay pluton</t>
  </si>
  <si>
    <t>CG93-456</t>
  </si>
  <si>
    <t>CG93-456.jpg</t>
  </si>
  <si>
    <t>Boudinaged pegmatite within rocks of probable supracrustal origin</t>
  </si>
  <si>
    <t>VN95-154.2.jpg</t>
  </si>
  <si>
    <t>RG80-038</t>
  </si>
  <si>
    <t>RG80-038.2.jpg</t>
  </si>
  <si>
    <t>Banded tonalite/granodiorite gneiss</t>
  </si>
  <si>
    <t>RG80-038.1.jpg</t>
  </si>
  <si>
    <t>Boudinaged amphibolite dyke in tonalite/granodiorite gneiss</t>
  </si>
  <si>
    <t>RG80-047.6.jpg</t>
  </si>
  <si>
    <t>Memorial on island east of Rigolet</t>
  </si>
  <si>
    <t>RG80-047.4.jpg</t>
  </si>
  <si>
    <t>RG80-047.2.jpg</t>
  </si>
  <si>
    <t>CG93-268.8.jpg</t>
  </si>
  <si>
    <t>Felsic veinlets in shear zone cutting older fabric at a high angle</t>
  </si>
  <si>
    <t>CG93-269</t>
  </si>
  <si>
    <t>CG93-269.1.jpg</t>
  </si>
  <si>
    <t>CG93-269.2.jpg</t>
  </si>
  <si>
    <t>CG93-270</t>
  </si>
  <si>
    <t>CG93-270.jpg</t>
  </si>
  <si>
    <t>Deformed granite</t>
  </si>
  <si>
    <t>CG93-271</t>
  </si>
  <si>
    <t>CG93-271.jpg</t>
  </si>
  <si>
    <t>Screens of supracrustal rocks in granite</t>
  </si>
  <si>
    <t>CG07-175</t>
  </si>
  <si>
    <t>CG07-175.1.jpg</t>
  </si>
  <si>
    <t>Contact between psammite and calc-silicate rocks, concordant pegmatite</t>
  </si>
  <si>
    <t>CG07-175.2.jpg</t>
  </si>
  <si>
    <t>CG07-176.1.jpg</t>
  </si>
  <si>
    <t>Brittle fault; dextral offset</t>
  </si>
  <si>
    <t>CG07-176.2.jpg</t>
  </si>
  <si>
    <t>Psammite/calc-silicate rock, green; some concordant pegmatite</t>
  </si>
  <si>
    <t>VN91-292.2.jpg</t>
  </si>
  <si>
    <t>Gneissosity in K-feldspar megacrystic granodiorite</t>
  </si>
  <si>
    <t>VN91-293</t>
  </si>
  <si>
    <t>VN91-293.2.jpg</t>
  </si>
  <si>
    <t>Well-banded biotite garnet psammite</t>
  </si>
  <si>
    <t>VN91-293.1.jpg</t>
  </si>
  <si>
    <t>NN80-155.2.jpg</t>
  </si>
  <si>
    <t>Granodioritic gneiss with abundant leucosome, and MT</t>
  </si>
  <si>
    <t>NN80-155.3.jpg</t>
  </si>
  <si>
    <t>GM85-636.3.jpg</t>
  </si>
  <si>
    <t>GM85-636.1.jpg</t>
  </si>
  <si>
    <t>GM85-637.2.jpg</t>
  </si>
  <si>
    <t>CG81-475</t>
  </si>
  <si>
    <t>CG81-475.2.jpg</t>
  </si>
  <si>
    <t>Folded mafic dyke</t>
  </si>
  <si>
    <t>CG81-475.1.jpg</t>
  </si>
  <si>
    <t>Boudinage and transposition</t>
  </si>
  <si>
    <t>CG81-476</t>
  </si>
  <si>
    <t>CG81-476.1.jpg</t>
  </si>
  <si>
    <t>Inhomogeneous diatexite</t>
  </si>
  <si>
    <t>CG81-476.2.jpg</t>
  </si>
  <si>
    <t>CG87-055.01.jpg</t>
  </si>
  <si>
    <t>CG87-055.03.jpg</t>
  </si>
  <si>
    <t>Gneissosity in metasedimentary gneiss</t>
  </si>
  <si>
    <t>CG87-105.2.jpg</t>
  </si>
  <si>
    <t>CG87-105.5.jpg</t>
  </si>
  <si>
    <t>Strongly foliated granitoid rocks; geochron. sample site</t>
  </si>
  <si>
    <t>CG87-105.1.jpg</t>
  </si>
  <si>
    <t>Late- to post-Grenvillian granite; geochron. sample site</t>
  </si>
  <si>
    <t>MC77-036.1.jpg</t>
  </si>
  <si>
    <t>CG80-028.1.jpg</t>
  </si>
  <si>
    <t>Garnet-bearing psammite</t>
  </si>
  <si>
    <t>CG03-125</t>
  </si>
  <si>
    <t>CG03-125.jpg</t>
  </si>
  <si>
    <t>Quartz monzonite - grey granodiorite contact</t>
  </si>
  <si>
    <t>CG03-131</t>
  </si>
  <si>
    <t>CG03-131.jpg</t>
  </si>
  <si>
    <t>Granite - amphibolite gneiss</t>
  </si>
  <si>
    <t>CG03-135</t>
  </si>
  <si>
    <t>CG03-135.jpg</t>
  </si>
  <si>
    <t>Hornblende porphyroblastesis</t>
  </si>
  <si>
    <t>CG03-139</t>
  </si>
  <si>
    <t>CG03-139.jpg</t>
  </si>
  <si>
    <t>Granitic gneiss with amphibolite and pegmatite layers</t>
  </si>
  <si>
    <t>CG03-146.4.jpg</t>
  </si>
  <si>
    <t>CG03-146.1.jpg</t>
  </si>
  <si>
    <t>Granodiorite gneiss with pegmatite</t>
  </si>
  <si>
    <t>VN87-146</t>
  </si>
  <si>
    <t>VN87-146.1.jpg</t>
  </si>
  <si>
    <t>Sigmoidal S-fold in dioritic layers within Alexis River anorthosite</t>
  </si>
  <si>
    <t>VN87-146.2.jpg</t>
  </si>
  <si>
    <t>Amphibole coronas on relict orthopyroxene crystals in Alexis River anorthosite</t>
  </si>
  <si>
    <t>VN87-148</t>
  </si>
  <si>
    <t>VN87-148.jpg</t>
  </si>
  <si>
    <t>Amphibolite dyke intruding Alexis River anorthosite</t>
  </si>
  <si>
    <t>VN87-192</t>
  </si>
  <si>
    <t>VN87-192.jpg</t>
  </si>
  <si>
    <t>Contact of strongly foliated and gneissic granite</t>
  </si>
  <si>
    <t>VN84-505</t>
  </si>
  <si>
    <t>VN84-505.1.jpg</t>
  </si>
  <si>
    <t>Complexly folded gneiss (derived from Alexis River anorthosite?)</t>
  </si>
  <si>
    <t>VN84-505.3.jpg</t>
  </si>
  <si>
    <t>Isoclinally folded quartz diorite</t>
  </si>
  <si>
    <t>VN84-506.1.jpg</t>
  </si>
  <si>
    <t>CG81-046</t>
  </si>
  <si>
    <t>CG81-046.2.jpg</t>
  </si>
  <si>
    <t>VN91-226</t>
  </si>
  <si>
    <t>VN91-226.2.jpg</t>
  </si>
  <si>
    <t>K-feldspar megacrystic biotite quartz diorite- granodiorite</t>
  </si>
  <si>
    <t>VN91-226.1.jpg</t>
  </si>
  <si>
    <t>Biotite muscovite granodiorite gneiss enclave in biotite granite; discordant pegmatite</t>
  </si>
  <si>
    <t>VN91-229</t>
  </si>
  <si>
    <t>VN91-229.jpg</t>
  </si>
  <si>
    <t>Rotated K-feldspars in K-feldspar megacrystic granite</t>
  </si>
  <si>
    <t>VN91-230</t>
  </si>
  <si>
    <t>VN91-230.jpg</t>
  </si>
  <si>
    <t>Sinistral deflection of fabric in K-feldspar megacrystic granodiorite</t>
  </si>
  <si>
    <t>VN91-233.6.jpg</t>
  </si>
  <si>
    <t>Syenite/monzonite; geochron. sample site</t>
  </si>
  <si>
    <t>VN91-233.5.jpg</t>
  </si>
  <si>
    <t>Small enclaves of quartz syenite in K-feldspar megacrystic monzonite</t>
  </si>
  <si>
    <t>RG80-025</t>
  </si>
  <si>
    <t>RG80-025.jpg</t>
  </si>
  <si>
    <t>Boudin of agmatized, altered amphibolite</t>
  </si>
  <si>
    <t>RG80-027</t>
  </si>
  <si>
    <t>RG80-027.2.jpg</t>
  </si>
  <si>
    <t>Gossanous zone in metasedimentary gneiss, and AH</t>
  </si>
  <si>
    <t>RG80-027.1.jpg</t>
  </si>
  <si>
    <t>RG80-028</t>
  </si>
  <si>
    <t>RG80-028.jpg</t>
  </si>
  <si>
    <t>Folded amphibolite in quartzofeldspathic gneiss</t>
  </si>
  <si>
    <t>CG86-688.7.jpg</t>
  </si>
  <si>
    <t>CG86-691</t>
  </si>
  <si>
    <t>CG86-691.jpg</t>
  </si>
  <si>
    <t>Abundant enclaves at margin of Gilbert Bay pluton</t>
  </si>
  <si>
    <t>VN85-629</t>
  </si>
  <si>
    <t>VN85-629.1.jpg</t>
  </si>
  <si>
    <t>Contact between gabbro and monzonite</t>
  </si>
  <si>
    <t>VN85-632</t>
  </si>
  <si>
    <t>VN85-632.jpg</t>
  </si>
  <si>
    <t>Interlayered quartz diorite and monzonite gneiss</t>
  </si>
  <si>
    <t>CG07-178</t>
  </si>
  <si>
    <t>CG07-178.jpg</t>
  </si>
  <si>
    <t>Amphibolite (light) with enclaves</t>
  </si>
  <si>
    <t>CG07-179</t>
  </si>
  <si>
    <t>CG07-179.jpg</t>
  </si>
  <si>
    <t>CG07-181</t>
  </si>
  <si>
    <t>CG07-181.1.jpg</t>
  </si>
  <si>
    <t>Brittle fault in psammite, dextrally offsetting pegmatite</t>
  </si>
  <si>
    <t>CG07-181.2.jpg</t>
  </si>
  <si>
    <t>Slickenside with epidote, quartz and hematite</t>
  </si>
  <si>
    <t>CG07-184</t>
  </si>
  <si>
    <t>CG07-184.3.jpg</t>
  </si>
  <si>
    <t>Amazonite in pegmatite, boudinaged pods</t>
  </si>
  <si>
    <t>CG07-184.1.jpg</t>
  </si>
  <si>
    <t>Amazonite in pegmatite, boudinaged pod</t>
  </si>
  <si>
    <t>CG07-184.2.jpg</t>
  </si>
  <si>
    <t>CG07-185</t>
  </si>
  <si>
    <t>CG07-185.1.jpg</t>
  </si>
  <si>
    <t>CG07-185.2.jpg</t>
  </si>
  <si>
    <t>Psammite, tightly folded</t>
  </si>
  <si>
    <t>CG07-187.3.jpg</t>
  </si>
  <si>
    <t>CG03-285</t>
  </si>
  <si>
    <t>CG03-285.jpg</t>
  </si>
  <si>
    <t>Kinematic indicator, top (south) to right (good one)</t>
  </si>
  <si>
    <t>VN87-144</t>
  </si>
  <si>
    <t>VN87-144.jpg</t>
  </si>
  <si>
    <t>Well-defined banding in Alexis River anorthosite</t>
  </si>
  <si>
    <t>VN87-146.3.jpg</t>
  </si>
  <si>
    <t>VN91-031</t>
  </si>
  <si>
    <t>VN91-031.2.jpg</t>
  </si>
  <si>
    <t>VN91-031.1.jpg</t>
  </si>
  <si>
    <t>VN91-034.2.jpg</t>
  </si>
  <si>
    <t>Diorite enclaves in granite</t>
  </si>
  <si>
    <t>VN91-034.1.jpg</t>
  </si>
  <si>
    <t>VN91-034.4.jpg</t>
  </si>
  <si>
    <t>CG84-495</t>
  </si>
  <si>
    <t>CG84-495.1.jpg</t>
  </si>
  <si>
    <t>Gneiss intruded by granitic dyke; geochron. sample site</t>
  </si>
  <si>
    <t>CG84-495.3.jpg</t>
  </si>
  <si>
    <t>Granodioritic orthogneiss</t>
  </si>
  <si>
    <t>CG84-495.2.jpg</t>
  </si>
  <si>
    <t>K-feldspar megacryst granitoid rock</t>
  </si>
  <si>
    <t>CG79-313</t>
  </si>
  <si>
    <t>CG79-313.jpg</t>
  </si>
  <si>
    <t>Foliated to gneissic biotite granodiorite intruded by microgranite</t>
  </si>
  <si>
    <t>GM85-479.1.jpg</t>
  </si>
  <si>
    <t>GM85-481.2.jpg</t>
  </si>
  <si>
    <t>DL93-328</t>
  </si>
  <si>
    <t>DL93-328.jpg</t>
  </si>
  <si>
    <t>Muscovite-bearing rock of possible felsic volcanic origin</t>
  </si>
  <si>
    <t>VN91-131.2.jpg</t>
  </si>
  <si>
    <t>CG80-186</t>
  </si>
  <si>
    <t>CG80-186.jpg</t>
  </si>
  <si>
    <t>Brecciated amphibolitic rocks of possible volcanic origin</t>
  </si>
  <si>
    <t>CG99-296</t>
  </si>
  <si>
    <t>CG99-296.jpg</t>
  </si>
  <si>
    <t>CG99-300</t>
  </si>
  <si>
    <t>CG99-300.jpg</t>
  </si>
  <si>
    <t>Granitic/granodioritic gneiss with orthopyroxene in segregations</t>
  </si>
  <si>
    <t>GM85-675</t>
  </si>
  <si>
    <t>GM85-675.1.jpg</t>
  </si>
  <si>
    <t>Hornblende quartz diorite with quartzofeldspathic veins</t>
  </si>
  <si>
    <t>GM85-675.2.jpg</t>
  </si>
  <si>
    <t>GM85-676</t>
  </si>
  <si>
    <t>GM85-676.2.jpg</t>
  </si>
  <si>
    <t>Hornblende quartz diorite with transposed segregation</t>
  </si>
  <si>
    <t>GM85-676.1.jpg</t>
  </si>
  <si>
    <t>GM85-676.3.jpg</t>
  </si>
  <si>
    <t>GM85-681</t>
  </si>
  <si>
    <t>GM85-681.5.jpg</t>
  </si>
  <si>
    <t>Mafic dyke intruding gneissic granodiorite</t>
  </si>
  <si>
    <t>GM85-681.2.jpg</t>
  </si>
  <si>
    <t>Granitic veins in granodioritic gneiss</t>
  </si>
  <si>
    <t>GM85-681.4.jpg</t>
  </si>
  <si>
    <t>VN92-153.1.jpg</t>
  </si>
  <si>
    <t>Pegmatite vein intruding granite</t>
  </si>
  <si>
    <t>VN92-154</t>
  </si>
  <si>
    <t>VN92-154.2.jpg</t>
  </si>
  <si>
    <t>Hornblende crystal in granite veins</t>
  </si>
  <si>
    <t>VN92-154.5.jpg</t>
  </si>
  <si>
    <t>Amphibolite enclaves in biotite granite</t>
  </si>
  <si>
    <t>VN92-154.1.jpg</t>
  </si>
  <si>
    <t>Amphibolite dyke intruding quartz diorite</t>
  </si>
  <si>
    <t>VN92-154.4.jpg</t>
  </si>
  <si>
    <t>Texture of foliated quartz diorite</t>
  </si>
  <si>
    <t>VN92-154.3.jpg</t>
  </si>
  <si>
    <t>Amphibolite enclaves in pegmatite</t>
  </si>
  <si>
    <t>CG04-106.11.jpg</t>
  </si>
  <si>
    <t>CG83-277</t>
  </si>
  <si>
    <t>CG83-277.1.jpg</t>
  </si>
  <si>
    <t>Muscovite garnet granite with mafic dyke</t>
  </si>
  <si>
    <t>CG83-277.2.jpg</t>
  </si>
  <si>
    <t>SN86-345.2.jpg</t>
  </si>
  <si>
    <t>Hornblendite pods within amphibolite</t>
  </si>
  <si>
    <t>SN86-346</t>
  </si>
  <si>
    <t>SN86-346.jpg</t>
  </si>
  <si>
    <t>GM85-550.1.jpg</t>
  </si>
  <si>
    <t>GM85-550.3.jpg</t>
  </si>
  <si>
    <t>GM85-551</t>
  </si>
  <si>
    <t>GM85-551.2.jpg</t>
  </si>
  <si>
    <t>Hornblende quartz diorite intruded by amphibolite dyke</t>
  </si>
  <si>
    <t>GM85-551.1.jpg</t>
  </si>
  <si>
    <t>GM85-569</t>
  </si>
  <si>
    <t>GM85-569.1.jpg</t>
  </si>
  <si>
    <t>Biotite granodiorite intruded by sheared amphibolite dykes</t>
  </si>
  <si>
    <t>GM85-569.2.jpg</t>
  </si>
  <si>
    <t>GM85-569.3.jpg</t>
  </si>
  <si>
    <t>GM85-575</t>
  </si>
  <si>
    <t>GM85-575.2.jpg</t>
  </si>
  <si>
    <t>Amphibolite dyke (4 m wide) intruding granodiorite</t>
  </si>
  <si>
    <t>GM85-575.3.jpg</t>
  </si>
  <si>
    <t>CG80-192</t>
  </si>
  <si>
    <t>CG80-192.1.jpg</t>
  </si>
  <si>
    <t>Metasedimentary gneiss within tonalite to quartz diorite gneiss</t>
  </si>
  <si>
    <t>CG80-192.2.jpg</t>
  </si>
  <si>
    <t>Amphibolite dyke with associated leucosome</t>
  </si>
  <si>
    <t>CG80-193</t>
  </si>
  <si>
    <t>CG80-193.jpg</t>
  </si>
  <si>
    <t>Quartz diorite to tonalite gneiss</t>
  </si>
  <si>
    <t>CG80-194</t>
  </si>
  <si>
    <t>CG80-194.1.jpg</t>
  </si>
  <si>
    <t>Diabase in quartz diorite to tonalite</t>
  </si>
  <si>
    <t>CG80-194.2.jpg</t>
  </si>
  <si>
    <t>Diabase tonalite gneiss contact</t>
  </si>
  <si>
    <t>CG97-161.6.jpg</t>
  </si>
  <si>
    <t>MN86-040</t>
  </si>
  <si>
    <t>MN86-040.jpg</t>
  </si>
  <si>
    <t>Shear band in mylonitic K-feldspar megacrystic granodiorite; number in original photo was  erroneous- now corrected</t>
  </si>
  <si>
    <t>VN93-038</t>
  </si>
  <si>
    <t>VN93-038.1.jpg</t>
  </si>
  <si>
    <t>Coarse-grained Red Bay gabbronorite</t>
  </si>
  <si>
    <t>VN84-254</t>
  </si>
  <si>
    <t>VN84-254.jpg</t>
  </si>
  <si>
    <t>Dextral shear in Paradise Arm K-feldspar megacrystic monzogranite/granodiorite</t>
  </si>
  <si>
    <t>VO81-018</t>
  </si>
  <si>
    <t>VO81-018.1.jpg</t>
  </si>
  <si>
    <t>81-11</t>
  </si>
  <si>
    <t>Leucosomes in quartz monzonite</t>
  </si>
  <si>
    <t>VN91-078.1.jpg</t>
  </si>
  <si>
    <t>Coarse-grained hornblende-rich metagabbro</t>
  </si>
  <si>
    <t>VN91-078.3.jpg</t>
  </si>
  <si>
    <t>VN91-080</t>
  </si>
  <si>
    <t>VN91-080.1.jpg</t>
  </si>
  <si>
    <t>K-feldspar megacrystic biotite granite</t>
  </si>
  <si>
    <t>VN91-080.2.jpg</t>
  </si>
  <si>
    <t>K-feldspar megacrystic biotite granite intruded by pegmatite; also enclave of diorite</t>
  </si>
  <si>
    <t>VN91-083</t>
  </si>
  <si>
    <t>VN91-083.jpg</t>
  </si>
  <si>
    <t>K-feldspar megacrystic biotite garnet granite</t>
  </si>
  <si>
    <t>VN91-089</t>
  </si>
  <si>
    <t>VN91-089.1.jpg</t>
  </si>
  <si>
    <t>Hornblende biotite anorthosite/diorite</t>
  </si>
  <si>
    <t>VN91-089.2.jpg</t>
  </si>
  <si>
    <t>CG81-556.7.jpg</t>
  </si>
  <si>
    <t>CG85-253</t>
  </si>
  <si>
    <t>CG85-253.jpg</t>
  </si>
  <si>
    <t>Anhydrous metasedimentary gneiss</t>
  </si>
  <si>
    <t>CG85-280</t>
  </si>
  <si>
    <t>CG85-280.2.jpg</t>
  </si>
  <si>
    <t>Mafic xenoliths in Paradise Arm pluton</t>
  </si>
  <si>
    <t>CG07-187.1.jpg</t>
  </si>
  <si>
    <t>CG85-472.2.jpg</t>
  </si>
  <si>
    <t>K-feldspar megacrystic granodiorite with enclave</t>
  </si>
  <si>
    <t>CG93-455.5.jpg</t>
  </si>
  <si>
    <t>Contact of mafic dyke, showing discordance</t>
  </si>
  <si>
    <t>CG93-455.4.jpg</t>
  </si>
  <si>
    <t>Discordant mafic dyke</t>
  </si>
  <si>
    <t>CG03-277</t>
  </si>
  <si>
    <t>CG03-277.jpg</t>
  </si>
  <si>
    <t>CG85-280.1.jpg</t>
  </si>
  <si>
    <t>Paradise Arm pluton; geochron. sample site</t>
  </si>
  <si>
    <t>CG85-617.3.jpg</t>
  </si>
  <si>
    <t>Contact between amphibolite and granite</t>
  </si>
  <si>
    <t>GM85-672</t>
  </si>
  <si>
    <t>GM85-672.1.jpg</t>
  </si>
  <si>
    <t>Amphibolite dyke discordant to vague foliation in granodiorite</t>
  </si>
  <si>
    <t>CG85-446</t>
  </si>
  <si>
    <t>CG85-446.jpg</t>
  </si>
  <si>
    <t>Mountain heath</t>
  </si>
  <si>
    <t>SN86-094</t>
  </si>
  <si>
    <t>SN86-094.jpg</t>
  </si>
  <si>
    <t>Amphibolite dyke intruding White Bear Arm gabbronorite</t>
  </si>
  <si>
    <t>GM85-681.3.jpg</t>
  </si>
  <si>
    <t>Granitic veins truncating  gneissosity in granodiorite gneiss</t>
  </si>
  <si>
    <t>GM85-681.1.jpg</t>
  </si>
  <si>
    <t>GM85-682.3.jpg</t>
  </si>
  <si>
    <t>GM85-682.4.jpg</t>
  </si>
  <si>
    <t>CG87-055.02.jpg</t>
  </si>
  <si>
    <t>CG00-141</t>
  </si>
  <si>
    <t>CG00-141.jpg</t>
  </si>
  <si>
    <t>CG81-429</t>
  </si>
  <si>
    <t>CG81-429.1.jpg</t>
  </si>
  <si>
    <t>GM85-529</t>
  </si>
  <si>
    <t>GM85-529.2.jpg</t>
  </si>
  <si>
    <t>Metasedimentary gneiss with K-feldspar augen texture</t>
  </si>
  <si>
    <t>GM85-534.3.jpg</t>
  </si>
  <si>
    <t>GM85-534.2.jpg</t>
  </si>
  <si>
    <t>NN84-381.3.jpg</t>
  </si>
  <si>
    <t>RG80-034</t>
  </si>
  <si>
    <t>RG80-034.jpg</t>
  </si>
  <si>
    <t>Well-banded tonalite/granodiorite gneiss</t>
  </si>
  <si>
    <t>RG80-038.3.jpg</t>
  </si>
  <si>
    <t>Migmatitic amphibolite dyke</t>
  </si>
  <si>
    <t>CG79-783</t>
  </si>
  <si>
    <t>CG79-783.jpg</t>
  </si>
  <si>
    <t>Incipient development of gneissosity in tonalite/granodiorite gneiss</t>
  </si>
  <si>
    <t>CG79-786.3.jpg</t>
  </si>
  <si>
    <t>CG04-096</t>
  </si>
  <si>
    <t>CG04-096.jpg</t>
  </si>
  <si>
    <t>Mylonite with later brecciation</t>
  </si>
  <si>
    <t>CG04-104</t>
  </si>
  <si>
    <t>CG04-104.1.jpg</t>
  </si>
  <si>
    <t>Pyritic border of Long Range dyke</t>
  </si>
  <si>
    <t>CG04-106.01.jpg</t>
  </si>
  <si>
    <t>CG85-483.2.jpg</t>
  </si>
  <si>
    <t>NN84-032.2.jpg</t>
  </si>
  <si>
    <t>CG79-018.6.jpg</t>
  </si>
  <si>
    <t>VN91-108.1.jpg</t>
  </si>
  <si>
    <t>GM85-496</t>
  </si>
  <si>
    <t>GM85-496.1.jpg</t>
  </si>
  <si>
    <t>Fine-grained biotite granodiorite gneiss</t>
  </si>
  <si>
    <t>GM85-497.1.jpg</t>
  </si>
  <si>
    <t>GM85-497.6.jpg</t>
  </si>
  <si>
    <t>Enclaves of gabbro in fine-grained biotite tonalite</t>
  </si>
  <si>
    <t>GM85-497.7.jpg</t>
  </si>
  <si>
    <t>GM85-497.5.jpg</t>
  </si>
  <si>
    <t>VN91-253.1.jpg</t>
  </si>
  <si>
    <t>Granodiorite gneiss intruded by discordant and concordant granite veins</t>
  </si>
  <si>
    <t>VN91-259</t>
  </si>
  <si>
    <t>VN91-259.jpg</t>
  </si>
  <si>
    <t>Biotite hornblende magnetite granodiorite gneiss</t>
  </si>
  <si>
    <t>CG07-103</t>
  </si>
  <si>
    <t>CG07-103.1.jpg</t>
  </si>
  <si>
    <t>Pelitic gneiss; Mealy diabase dykelet</t>
  </si>
  <si>
    <t>CG07-103.2.jpg</t>
  </si>
  <si>
    <t>CG07-104</t>
  </si>
  <si>
    <t>CG07-104.1.jpg</t>
  </si>
  <si>
    <t>Peliltic gneiss, cordierite</t>
  </si>
  <si>
    <t>CG07-104.3.jpg</t>
  </si>
  <si>
    <t>CG07-105</t>
  </si>
  <si>
    <t>CG07-105.jpg</t>
  </si>
  <si>
    <t>CG07-109</t>
  </si>
  <si>
    <t>CG07-109.jpg</t>
  </si>
  <si>
    <t>CG07-110.1.jpg</t>
  </si>
  <si>
    <t>CG07-110.2.jpg</t>
  </si>
  <si>
    <t>CG07-110.3.jpg</t>
  </si>
  <si>
    <t>CG87-488.16.jpg</t>
  </si>
  <si>
    <t>CG84-495.4.jpg</t>
  </si>
  <si>
    <t>CG84-495.6.jpg</t>
  </si>
  <si>
    <t>Amphibolite layer in gneiss</t>
  </si>
  <si>
    <t>NN80-056</t>
  </si>
  <si>
    <t>NN80-056.jpg</t>
  </si>
  <si>
    <t>NN80-057</t>
  </si>
  <si>
    <t>NN80-057.1.jpg</t>
  </si>
  <si>
    <t>Sinistral transposition between metagabbro and tonalitic gneiss</t>
  </si>
  <si>
    <t>VN87-270</t>
  </si>
  <si>
    <t>VN87-270.2.jpg</t>
  </si>
  <si>
    <t>Pegmatite intruding granodioritic gneiss</t>
  </si>
  <si>
    <t>VN87-281</t>
  </si>
  <si>
    <t>VN87-281.jpg</t>
  </si>
  <si>
    <t>Dextrally(?) rotated K-feldspar megacrysts</t>
  </si>
  <si>
    <t>CG98-043</t>
  </si>
  <si>
    <t>CG98-043.jpg</t>
  </si>
  <si>
    <t>Coarse-grained, massive anorthosite to leucogabbronorite</t>
  </si>
  <si>
    <t>CG98-052</t>
  </si>
  <si>
    <t>CG98-052.jpg</t>
  </si>
  <si>
    <t>Coarse-grained, massive anorthosite</t>
  </si>
  <si>
    <t>VN93-048.3.jpg</t>
  </si>
  <si>
    <t>Granitic gneiss in contact with foliated granite</t>
  </si>
  <si>
    <t>CG93-001</t>
  </si>
  <si>
    <t>CG93-001.jpg</t>
  </si>
  <si>
    <t>Amphibolite with leucosome</t>
  </si>
  <si>
    <t>CG93-002</t>
  </si>
  <si>
    <t>CG93-002.jpg</t>
  </si>
  <si>
    <t>Amphibolite with leucosome lenses</t>
  </si>
  <si>
    <t>CG93-003</t>
  </si>
  <si>
    <t>CG93-003.jpg</t>
  </si>
  <si>
    <t>Quartz monzonite with incipient segregations</t>
  </si>
  <si>
    <t>CG93-006</t>
  </si>
  <si>
    <t>CG93-006.jpg</t>
  </si>
  <si>
    <t>Metamorphosed mafic dyke intruding gneiss and containing leucosome</t>
  </si>
  <si>
    <t>CG93-007</t>
  </si>
  <si>
    <t>CG93-007.1.jpg</t>
  </si>
  <si>
    <t>Leucocratic granite</t>
  </si>
  <si>
    <t>CG93-007.2.jpg</t>
  </si>
  <si>
    <t>Boudinaged pegmatite intruding banded gneiss</t>
  </si>
  <si>
    <t>CG93-014</t>
  </si>
  <si>
    <t>CG93-014.2.jpg</t>
  </si>
  <si>
    <t>Quartz-rich metasedimentary gneiss showing z-fold</t>
  </si>
  <si>
    <t>CG93-014.1.jpg</t>
  </si>
  <si>
    <t>CG84-111.2.jpg</t>
  </si>
  <si>
    <t>CG84-126</t>
  </si>
  <si>
    <t>CG84-126.jpg</t>
  </si>
  <si>
    <t>Pink alkali-feldspar granite giving high radioactivity reading</t>
  </si>
  <si>
    <t>CG84-127</t>
  </si>
  <si>
    <t>CG84-127.jpg</t>
  </si>
  <si>
    <t>Fine- to medium-grained syenite intruded by granite</t>
  </si>
  <si>
    <t>CG84-136</t>
  </si>
  <si>
    <t>CG84-136.4.jpg</t>
  </si>
  <si>
    <t>Eagle River; lower-middle part (location approximate)</t>
  </si>
  <si>
    <t>CG84-136.1.jpg</t>
  </si>
  <si>
    <t>Hornblende syenite in fault breccia zone</t>
  </si>
  <si>
    <t>CG84-136.2.jpg</t>
  </si>
  <si>
    <t>VN91-403.1.jpg</t>
  </si>
  <si>
    <t>K-feldspar megacrystic granite intruded by microgranite</t>
  </si>
  <si>
    <t>VN93-324</t>
  </si>
  <si>
    <t>VN93-324.jpg</t>
  </si>
  <si>
    <t>Coarse-grained, weakly foliated, Picton Pond quartz monzonite; K-feldspars locally rimmed by recrystallized plagioclase</t>
  </si>
  <si>
    <t>VN93-332</t>
  </si>
  <si>
    <t>VN93-332.2.jpg</t>
  </si>
  <si>
    <t>Banding in rock of possible felsic volcanic origin</t>
  </si>
  <si>
    <t>VN93-332.1.jpg</t>
  </si>
  <si>
    <t>Banding rocks of probable supracrustal origin</t>
  </si>
  <si>
    <t>VN93-333</t>
  </si>
  <si>
    <t>VN93-333.1.jpg</t>
  </si>
  <si>
    <t>Extensive granitic veining in foliated granite/granodiorite</t>
  </si>
  <si>
    <t>VN93-333.2.jpg</t>
  </si>
  <si>
    <t>VN91-424.5.jpg</t>
  </si>
  <si>
    <t>CG93-280</t>
  </si>
  <si>
    <t>CG93-280.jpg</t>
  </si>
  <si>
    <t>Texture of K-feldspar megacrystic hornblende granite</t>
  </si>
  <si>
    <t>JS87-324</t>
  </si>
  <si>
    <t>JS87-324.jpg</t>
  </si>
  <si>
    <t>Mafic lens in granite</t>
  </si>
  <si>
    <t>JS87-341</t>
  </si>
  <si>
    <t>JS87-341.jpg</t>
  </si>
  <si>
    <t>Brittle faulting and quartz veining</t>
  </si>
  <si>
    <t>JS87-354</t>
  </si>
  <si>
    <t>JS87-354.jpg</t>
  </si>
  <si>
    <t>Amphibolite dyke contact with K-feldspar megacrystic granitoid rock</t>
  </si>
  <si>
    <t>JS87-365</t>
  </si>
  <si>
    <t>JS87-365.jpg</t>
  </si>
  <si>
    <t>NN80-286</t>
  </si>
  <si>
    <t>NN80-286.3.jpg</t>
  </si>
  <si>
    <t>Discordant contact between plagioclase-phyric amphibolite and gneiss</t>
  </si>
  <si>
    <t>NN80-286.1.jpg</t>
  </si>
  <si>
    <t>Contact between metagabbro and amphibolite</t>
  </si>
  <si>
    <t>NN80-286.2.jpg</t>
  </si>
  <si>
    <t>Contact between metagabbro and plagioclase-phyric amphibolite</t>
  </si>
  <si>
    <t>NN80-286.5.jpg</t>
  </si>
  <si>
    <t>Discordant contact in amphibolite dyke</t>
  </si>
  <si>
    <t>NN80-336</t>
  </si>
  <si>
    <t>NN80-336.jpg</t>
  </si>
  <si>
    <t>Contact between quartz diorite and granodiorite</t>
  </si>
  <si>
    <t>NN80-350.1.jpg</t>
  </si>
  <si>
    <t>CG80-587</t>
  </si>
  <si>
    <t>CG80-587.jpg</t>
  </si>
  <si>
    <t>Amphibolite with isoclinal folding of leucosome veins</t>
  </si>
  <si>
    <t>CG95-142</t>
  </si>
  <si>
    <t>CG95-142.1.jpg</t>
  </si>
  <si>
    <t>Faulted Mealy dyke</t>
  </si>
  <si>
    <t>CG95-142.2.jpg</t>
  </si>
  <si>
    <t>VO81-023</t>
  </si>
  <si>
    <t>VO81-023.1.jpg</t>
  </si>
  <si>
    <t>VO81-054</t>
  </si>
  <si>
    <t>VO81-054.2.jpg</t>
  </si>
  <si>
    <t>Tightly folded tonalitic/granodiorite gneiss</t>
  </si>
  <si>
    <t>VO81-054.1.jpg</t>
  </si>
  <si>
    <t>VO81-058</t>
  </si>
  <si>
    <t>VO81-058.2.jpg</t>
  </si>
  <si>
    <t>Net-veined amphibolite with monzonite</t>
  </si>
  <si>
    <t>VO81-058.3.jpg</t>
  </si>
  <si>
    <t>Net-veined amphibolite with monzonite; margin of amphibolite</t>
  </si>
  <si>
    <t>RG80-197</t>
  </si>
  <si>
    <t>RG80-197.jpg</t>
  </si>
  <si>
    <t>Refolded amphibolite in granodioritic gneiss</t>
  </si>
  <si>
    <t>RG80-203</t>
  </si>
  <si>
    <t>RG80-203.1.jpg</t>
  </si>
  <si>
    <t>Enclaves of amphibolite in granodiorite</t>
  </si>
  <si>
    <t>CG87-488.29.jpg</t>
  </si>
  <si>
    <t>CG86-053</t>
  </si>
  <si>
    <t>CG86-053.jpg</t>
  </si>
  <si>
    <t>Truncation due to tectonic transposition</t>
  </si>
  <si>
    <t>CG86-072</t>
  </si>
  <si>
    <t>CG86-072.2.jpg</t>
  </si>
  <si>
    <t>Bird's nest (location approximate)</t>
  </si>
  <si>
    <t>VN91-424.3.jpg</t>
  </si>
  <si>
    <t>Sheared pegmatite in metagabbro (intruding syenite)</t>
  </si>
  <si>
    <t>VN91-424.2.jpg</t>
  </si>
  <si>
    <t>CG87-333.2.jpg</t>
  </si>
  <si>
    <t>Mafic dyke intruding K-feldspar megacrystic granitoid rock; subsequently intruded by pegmatite-microgranite</t>
  </si>
  <si>
    <t>VO81-468</t>
  </si>
  <si>
    <t>VO81-468.jpg</t>
  </si>
  <si>
    <t>Folds in migmatitic diorite</t>
  </si>
  <si>
    <t>VO81-486</t>
  </si>
  <si>
    <t>VO81-486.jpg</t>
  </si>
  <si>
    <t>Granodiorite with discordant pegmatite</t>
  </si>
  <si>
    <t>VO81-487</t>
  </si>
  <si>
    <t>VO81-487.jpg</t>
  </si>
  <si>
    <t>81-15</t>
  </si>
  <si>
    <t>Weakly foliated granite intruding strongly foliated hornblende diorite</t>
  </si>
  <si>
    <t>VO81-491</t>
  </si>
  <si>
    <t>VO81-491.jpg</t>
  </si>
  <si>
    <t>Hornblende clots in in-situ leucosome intruding foliated diorite</t>
  </si>
  <si>
    <t>VO81-518</t>
  </si>
  <si>
    <t>VO81-518.3.jpg</t>
  </si>
  <si>
    <t>Migmatitic biotite gnarnet quartzofeldspathic gneiss</t>
  </si>
  <si>
    <t>VO81-518.2.jpg</t>
  </si>
  <si>
    <t>VO81-518.4.jpg</t>
  </si>
  <si>
    <t>VO81-518.1.jpg</t>
  </si>
  <si>
    <t>VO81-522</t>
  </si>
  <si>
    <t>VO81-522.jpg</t>
  </si>
  <si>
    <t>Leucosome segregation in biotite sillimanite restite</t>
  </si>
  <si>
    <t>JS87-384</t>
  </si>
  <si>
    <t>JS87-384.jpg</t>
  </si>
  <si>
    <t>Granodioritic, amphibolitic and granitic gneiss intruded by pegmatite</t>
  </si>
  <si>
    <t>JS87-386</t>
  </si>
  <si>
    <t>JS87-386.jpg</t>
  </si>
  <si>
    <t>Mafic layers in dioritic gneiss</t>
  </si>
  <si>
    <t>JS87-391</t>
  </si>
  <si>
    <t>JS87-391.jpg</t>
  </si>
  <si>
    <t>Quartzofeldspathic metasediment</t>
  </si>
  <si>
    <t>VO81-568</t>
  </si>
  <si>
    <t>VO81-568.2.jpg</t>
  </si>
  <si>
    <t>Quartz diorite with enclaves</t>
  </si>
  <si>
    <t>CG07-132.3.jpg</t>
  </si>
  <si>
    <t>Amphibolite (light and dark varieties) and calc-silicate lenses; and pegmatite</t>
  </si>
  <si>
    <t>CG07-137.1.jpg</t>
  </si>
  <si>
    <t>Garnet porphyroblasts in mottled calc-silicate rock</t>
  </si>
  <si>
    <t>MC77-017.1.jpg</t>
  </si>
  <si>
    <t>Earl Island quartz diorite intruded by amphibolite dyke</t>
  </si>
  <si>
    <t>VN92-045.2.jpg</t>
  </si>
  <si>
    <t>JS87-101</t>
  </si>
  <si>
    <t>JS87-101.jpg</t>
  </si>
  <si>
    <t>Foliated diorite</t>
  </si>
  <si>
    <t>JS87-110</t>
  </si>
  <si>
    <t>JS87-110.jpg</t>
  </si>
  <si>
    <t>Foliated fine- medium-grained granite</t>
  </si>
  <si>
    <t>JS87-122</t>
  </si>
  <si>
    <t>JS87-122.jpg</t>
  </si>
  <si>
    <t>Alexis River anorthosite, strongly deformed</t>
  </si>
  <si>
    <t>JS87-131</t>
  </si>
  <si>
    <t>JS87-131.jpg</t>
  </si>
  <si>
    <t>Well-banded garnet-bearing amphibolite gneiss</t>
  </si>
  <si>
    <t>CG07-143.3.jpg</t>
  </si>
  <si>
    <t>Calc-silicate rock with open/tight fold</t>
  </si>
  <si>
    <t>CG07-143.4.jpg</t>
  </si>
  <si>
    <t>CG07-155</t>
  </si>
  <si>
    <t>CG07-155.jpg</t>
  </si>
  <si>
    <t>Psammite and pegmatite</t>
  </si>
  <si>
    <t>CG07-156</t>
  </si>
  <si>
    <t>CG07-156.1.jpg</t>
  </si>
  <si>
    <t>Psammite, cross bedded</t>
  </si>
  <si>
    <t>CG07-156.2.jpg</t>
  </si>
  <si>
    <t>CG07-157</t>
  </si>
  <si>
    <t>CG07-157.jpg</t>
  </si>
  <si>
    <t>Brittle faulting</t>
  </si>
  <si>
    <t>CG07-158</t>
  </si>
  <si>
    <t>CG07-158.1.jpg</t>
  </si>
  <si>
    <t>Tickle between Battle and Great Caribou islands</t>
  </si>
  <si>
    <t>CG07-158.2.jpg</t>
  </si>
  <si>
    <t>Tickle between Battle and Great Caribou islands; psammite and pegmatite in foreground</t>
  </si>
  <si>
    <t>VN93-662.09.jpg</t>
  </si>
  <si>
    <t>SP85-133</t>
  </si>
  <si>
    <t>SP85-133.7.jpg</t>
  </si>
  <si>
    <t>Community of Spotted Island 2</t>
  </si>
  <si>
    <t>SP85-133.6.jpg</t>
  </si>
  <si>
    <t>Community of Spotted Island 1</t>
  </si>
  <si>
    <t>CG95-249</t>
  </si>
  <si>
    <t>CG95-249.5.jpg</t>
  </si>
  <si>
    <t>Branching monzonite dyke intruding anorthosite/leuconorite</t>
  </si>
  <si>
    <t>CG95-249.1.jpg</t>
  </si>
  <si>
    <t>East-dipping layering in anorthosite/leuconorite of Mealy Mountains Intrusive Suite</t>
  </si>
  <si>
    <t>CG95-249.4.jpg</t>
  </si>
  <si>
    <t>CG95-249.3.jpg</t>
  </si>
  <si>
    <t>CG95-249.8.jpg</t>
  </si>
  <si>
    <t>Leuconorite in Mealy Mountains Intrusive Suite</t>
  </si>
  <si>
    <t>GM85-538</t>
  </si>
  <si>
    <t>GM85-538.3.jpg</t>
  </si>
  <si>
    <t>GM85-538.2.jpg</t>
  </si>
  <si>
    <t>GM85-538.6.jpg</t>
  </si>
  <si>
    <t>Granodiorite and amphibolite</t>
  </si>
  <si>
    <t>JS87-287</t>
  </si>
  <si>
    <t>JS87-287.jpg</t>
  </si>
  <si>
    <t>Granodioritic gneiss with melt veins</t>
  </si>
  <si>
    <t>JS87-298</t>
  </si>
  <si>
    <t>JS87-298.jpg</t>
  </si>
  <si>
    <t>Dioritic to granodioritic gneiss</t>
  </si>
  <si>
    <t>CG93-408</t>
  </si>
  <si>
    <t>CG93-408.2.jpg</t>
  </si>
  <si>
    <t>93-05</t>
  </si>
  <si>
    <t>Malachite staining in rocks of probable supracrustal origin (amazonite in pegmatite?)</t>
  </si>
  <si>
    <t>CG93-409</t>
  </si>
  <si>
    <t>CG93-409.1.jpg</t>
  </si>
  <si>
    <t>Enclave of fine-grained felsic rock in granite</t>
  </si>
  <si>
    <t>CG93-409.2.jpg</t>
  </si>
  <si>
    <t>CG93-410</t>
  </si>
  <si>
    <t>CG93-410.jpg</t>
  </si>
  <si>
    <t>Screen of fine-grained felsic rock in granite</t>
  </si>
  <si>
    <t>VN91-221.3.jpg</t>
  </si>
  <si>
    <t>CG85-542</t>
  </si>
  <si>
    <t>CG85-542.jpg</t>
  </si>
  <si>
    <t>Layered troctolite</t>
  </si>
  <si>
    <t>CG85-545</t>
  </si>
  <si>
    <t>CG85-545.3.jpg</t>
  </si>
  <si>
    <t>Agmatitic top of layered gabbro unit</t>
  </si>
  <si>
    <t>CG85-547.1.jpg</t>
  </si>
  <si>
    <t>Granite and mafic dyke</t>
  </si>
  <si>
    <t>CG83-125</t>
  </si>
  <si>
    <t>CG83-125.jpg</t>
  </si>
  <si>
    <t>Fault breccia marginal to Double Mer graben</t>
  </si>
  <si>
    <t>CG83-127</t>
  </si>
  <si>
    <t>CG83-127.3.jpg</t>
  </si>
  <si>
    <t>Spruce grouse 3</t>
  </si>
  <si>
    <t>VN93-334</t>
  </si>
  <si>
    <t>VN93-334.1.jpg</t>
  </si>
  <si>
    <t>Granitic vein intruding foliated granite and amphibolite dyke</t>
  </si>
  <si>
    <t>CG95-316.2.jpg</t>
  </si>
  <si>
    <t>Granite near the margin of the Mealy Mountains Intrusive Suite</t>
  </si>
  <si>
    <t>CG95-316.1.jpg</t>
  </si>
  <si>
    <t>VN92-197.03.jpg</t>
  </si>
  <si>
    <t>Foliated granite enclave in late granite</t>
  </si>
  <si>
    <t>VN92-197.04.jpg</t>
  </si>
  <si>
    <t>Late granite dyke intruding foliated, recrystallized granite</t>
  </si>
  <si>
    <t>CG03-208</t>
  </si>
  <si>
    <t>CG03-208.2.jpg</t>
  </si>
  <si>
    <t>CG03-209</t>
  </si>
  <si>
    <t>CG03-209.jpg</t>
  </si>
  <si>
    <t>Kinematic indicator, top (southwest) to right</t>
  </si>
  <si>
    <t>CG03-215.1.jpg</t>
  </si>
  <si>
    <t>Amphibolitic / dioritic gneiss, tightly folded</t>
  </si>
  <si>
    <t>CG03-288.1.jpg</t>
  </si>
  <si>
    <t>Well-banded gneiss with amazonite</t>
  </si>
  <si>
    <t>CG03-290</t>
  </si>
  <si>
    <t>CG03-290.jpg</t>
  </si>
  <si>
    <t>Fluorite, very dark purple</t>
  </si>
  <si>
    <t>CG03-298</t>
  </si>
  <si>
    <t>CG03-298.1.jpg</t>
  </si>
  <si>
    <t>Hematite-filled breccia vein</t>
  </si>
  <si>
    <t>CG03-298.2.jpg</t>
  </si>
  <si>
    <t>Well-banded gneiss, left (south)-side-up</t>
  </si>
  <si>
    <t>CG04-273</t>
  </si>
  <si>
    <t>CG04-273.1.jpg</t>
  </si>
  <si>
    <t>Mylonite; top to right</t>
  </si>
  <si>
    <t>CG04-273.2.jpg</t>
  </si>
  <si>
    <t>Mylonite with isoclinal folds and rotated porphyroblasts; top to right</t>
  </si>
  <si>
    <t>CG04-273.3.jpg</t>
  </si>
  <si>
    <t>Sheath fold</t>
  </si>
  <si>
    <t>CG04-273.4.jpg</t>
  </si>
  <si>
    <t>CG04-278.1.jpg</t>
  </si>
  <si>
    <t>CG04-278.2.jpg</t>
  </si>
  <si>
    <t>Cartwright, looking S</t>
  </si>
  <si>
    <t>CG04-278.3.jpg</t>
  </si>
  <si>
    <t>CG99-372</t>
  </si>
  <si>
    <t>CG99-372.2.jpg</t>
  </si>
  <si>
    <t>JS86-439</t>
  </si>
  <si>
    <t>JS86-439.jpg</t>
  </si>
  <si>
    <t>Mafic pod in granitoid rock with clinopyroxene core and hornblende rim</t>
  </si>
  <si>
    <t>VN91-052</t>
  </si>
  <si>
    <t>VN91-052.1.jpg</t>
  </si>
  <si>
    <t>Biotite granite gneiss</t>
  </si>
  <si>
    <t>VN91-052.2.jpg</t>
  </si>
  <si>
    <t>VN91-057</t>
  </si>
  <si>
    <t>VN91-057.2.jpg</t>
  </si>
  <si>
    <t>Biotite-rich schlieren in medium- to coarse-grained alkali-feldspar granite</t>
  </si>
  <si>
    <t>VN91-057.1.jpg</t>
  </si>
  <si>
    <t>Layering in mixed granite and biotite schist</t>
  </si>
  <si>
    <t>DD91-111</t>
  </si>
  <si>
    <t>DD91-111.1.jpg</t>
  </si>
  <si>
    <t>DD91-111.2.jpg</t>
  </si>
  <si>
    <t>DD91-111.3.jpg</t>
  </si>
  <si>
    <t>VN92-223</t>
  </si>
  <si>
    <t>VN92-223.3.jpg</t>
  </si>
  <si>
    <t>Sillimanite-bearing pelitic gneiss; enclave in granite</t>
  </si>
  <si>
    <t>JS86-031</t>
  </si>
  <si>
    <t>JS86-031.2.jpg</t>
  </si>
  <si>
    <t>Monzonite/syenite</t>
  </si>
  <si>
    <t>JS86-032</t>
  </si>
  <si>
    <t>JS86-032.jpg</t>
  </si>
  <si>
    <t>Garnetiferous amphibolite associated with anorthosite</t>
  </si>
  <si>
    <t>JS86-033</t>
  </si>
  <si>
    <t>JS86-033.jpg</t>
  </si>
  <si>
    <t>Banded metagabbro</t>
  </si>
  <si>
    <t>JS86-034</t>
  </si>
  <si>
    <t>JS86-034.jpg</t>
  </si>
  <si>
    <t>Relict ophitic texture in metagabbro</t>
  </si>
  <si>
    <t>JS86-036</t>
  </si>
  <si>
    <t>JS86-036.jpg</t>
  </si>
  <si>
    <t>Dextral(?) transposition in granitic gneiss</t>
  </si>
  <si>
    <t>VN91-264.10.jpg</t>
  </si>
  <si>
    <t>VN91-264.06.jpg</t>
  </si>
  <si>
    <t>Dextrally rotated garnet in quartz diorite gneiss</t>
  </si>
  <si>
    <t>CG99-395</t>
  </si>
  <si>
    <t>CG99-395.jpg</t>
  </si>
  <si>
    <t>99-05</t>
  </si>
  <si>
    <t>SEP 99 MN07</t>
  </si>
  <si>
    <t>NN84-308</t>
  </si>
  <si>
    <t>NN84-308.jpg</t>
  </si>
  <si>
    <t>Metasedimentary gneiss enclave in tonalitic/granodioritic gneiss</t>
  </si>
  <si>
    <t>NN84-326</t>
  </si>
  <si>
    <t>NN84-326.1.jpg</t>
  </si>
  <si>
    <t>Photo too dark to see anything</t>
  </si>
  <si>
    <t>CG04-027.1.jpg</t>
  </si>
  <si>
    <t>CG82-028</t>
  </si>
  <si>
    <t>CG82-028.3.jpg</t>
  </si>
  <si>
    <t>Mafic dykes in tonalitic/granodiorite gneiss, then folded</t>
  </si>
  <si>
    <t>CG04-204.2.jpg</t>
  </si>
  <si>
    <t>CG04-204.3.jpg</t>
  </si>
  <si>
    <t>Folded mylonite</t>
  </si>
  <si>
    <t>CG81-039</t>
  </si>
  <si>
    <t>CG81-039.jpg</t>
  </si>
  <si>
    <t>Coarse-grained diorite with mafic selvages to leucosome</t>
  </si>
  <si>
    <t>VN91-261</t>
  </si>
  <si>
    <t>VN91-261.1.jpg</t>
  </si>
  <si>
    <t>Weakly foliated, coarse-grained biotite hornblende granite</t>
  </si>
  <si>
    <t>JS86-460</t>
  </si>
  <si>
    <t>JS86-460.3.jpg</t>
  </si>
  <si>
    <t>JS86-460.2.jpg</t>
  </si>
  <si>
    <t>JS86-474</t>
  </si>
  <si>
    <t>JS86-474.jpg</t>
  </si>
  <si>
    <t>86-11</t>
  </si>
  <si>
    <t>SEP 86T1</t>
  </si>
  <si>
    <t>Schistose K-feldspar megacrystic granodiorite</t>
  </si>
  <si>
    <t>JS86-476</t>
  </si>
  <si>
    <t>JS86-476.jpg</t>
  </si>
  <si>
    <t>Muscovite biotite metasedimentary gneiss</t>
  </si>
  <si>
    <t>JS86-486</t>
  </si>
  <si>
    <t>JS86-486.jpg</t>
  </si>
  <si>
    <t>Agmatitic metasedimentary gneiss</t>
  </si>
  <si>
    <t>JS86-496</t>
  </si>
  <si>
    <t>JS86-496.jpg</t>
  </si>
  <si>
    <t>Garnet sillimanite metasedimentary gneiss</t>
  </si>
  <si>
    <t>CG98-098.5.jpg</t>
  </si>
  <si>
    <t>98-03</t>
  </si>
  <si>
    <t>OCT 98MN06</t>
  </si>
  <si>
    <t>MC77-055</t>
  </si>
  <si>
    <t>MC77-055.3.jpg</t>
  </si>
  <si>
    <t>K-feldspar augen gneiss</t>
  </si>
  <si>
    <t>MC77-056</t>
  </si>
  <si>
    <t>MC77-056.2.jpg</t>
  </si>
  <si>
    <t>Complex granodiorite gneiss</t>
  </si>
  <si>
    <t>MC77-056.1.jpg</t>
  </si>
  <si>
    <t>MC77-056.3.jpg</t>
  </si>
  <si>
    <t>Mylonitic granodioritic gneiss</t>
  </si>
  <si>
    <t>CG84-435.02.jpg</t>
  </si>
  <si>
    <t>Diatexitic metasedimentary gneiss with remnants of diopside-garnet paleosome</t>
  </si>
  <si>
    <t>CG84-435.05.jpg</t>
  </si>
  <si>
    <t>CG84-435.09.jpg</t>
  </si>
  <si>
    <t>CG80-138</t>
  </si>
  <si>
    <t>CG80-138.jpg</t>
  </si>
  <si>
    <t>Variable amphibolite to dioritic gneiss</t>
  </si>
  <si>
    <t>CG79-774</t>
  </si>
  <si>
    <t>CG79-774.3.jpg</t>
  </si>
  <si>
    <t>Bakeapple (Cloudberry)</t>
  </si>
  <si>
    <t>CG79-774.1.jpg</t>
  </si>
  <si>
    <t>Temporary camp at Bluff Head Cove</t>
  </si>
  <si>
    <t>CG79-774.2.jpg</t>
  </si>
  <si>
    <t>Hornblende porphyroblasts in leucosome in tonalite/granodiorite gneiss</t>
  </si>
  <si>
    <t>CG79-775</t>
  </si>
  <si>
    <t>CG79-775.jpg</t>
  </si>
  <si>
    <t>Folding in gneiss and amphibolite</t>
  </si>
  <si>
    <t>CG79-776</t>
  </si>
  <si>
    <t>CG79-776.jpg</t>
  </si>
  <si>
    <t>Dioritic to tonalitic gneiss</t>
  </si>
  <si>
    <t>CG79-777</t>
  </si>
  <si>
    <t>CG79-777.jpg</t>
  </si>
  <si>
    <t>Well-banded dioritic to tonalitic gneiss</t>
  </si>
  <si>
    <t>CG79-778</t>
  </si>
  <si>
    <t>CG79-778.jpg</t>
  </si>
  <si>
    <t>Opaque mineral in pegmatite</t>
  </si>
  <si>
    <t>CG79-780</t>
  </si>
  <si>
    <t>CG79-780.jpg</t>
  </si>
  <si>
    <t>Isoclinally folded amphibolite layer</t>
  </si>
  <si>
    <t>GM85-582</t>
  </si>
  <si>
    <t>GM85-582.1.jpg</t>
  </si>
  <si>
    <t>Mafic dyke intruding hornblende quartz diorite</t>
  </si>
  <si>
    <t>GM85-582.2.jpg</t>
  </si>
  <si>
    <t>AD79-091</t>
  </si>
  <si>
    <t>AD79-091.2.jpg</t>
  </si>
  <si>
    <t>Syenite and gabbro dykes</t>
  </si>
  <si>
    <t>RG80-061.1.jpg</t>
  </si>
  <si>
    <t>CG85-597</t>
  </si>
  <si>
    <t>CG85-597.1.jpg</t>
  </si>
  <si>
    <t>Gabbro-gneiss contact</t>
  </si>
  <si>
    <t>CG85-598</t>
  </si>
  <si>
    <t>CG85-598.2.jpg</t>
  </si>
  <si>
    <t>Mylonitic granodiorite with flattened microgranite veins</t>
  </si>
  <si>
    <t>CG98-218</t>
  </si>
  <si>
    <t>CG98-218.4.jpg</t>
  </si>
  <si>
    <t>Pyroxene in anorthosite</t>
  </si>
  <si>
    <t>CG85-507</t>
  </si>
  <si>
    <t>CG85-507.jpg</t>
  </si>
  <si>
    <t>Amphibolite agmatized by diorite and subsequently sheared</t>
  </si>
  <si>
    <t>CG85-519</t>
  </si>
  <si>
    <t>CG85-519.1.jpg</t>
  </si>
  <si>
    <t>Granite dervied from metasedimentary gneiss</t>
  </si>
  <si>
    <t>CG85-519.2.jpg</t>
  </si>
  <si>
    <t>Pink granitic gneiss</t>
  </si>
  <si>
    <t>VN92-158.1.jpg</t>
  </si>
  <si>
    <t>VN92-160</t>
  </si>
  <si>
    <t>VN92-160.1.jpg</t>
  </si>
  <si>
    <t>Coarse hornblende crystals in pegmatite intruding granodiorite/ quartz diorite</t>
  </si>
  <si>
    <t>CG93-459</t>
  </si>
  <si>
    <t>CG93-459.2.jpg</t>
  </si>
  <si>
    <t>Texture suggestive of pyroclastic protolith</t>
  </si>
  <si>
    <t>CG93-459.3.jpg</t>
  </si>
  <si>
    <t>CG85-597.3.jpg</t>
  </si>
  <si>
    <t>CG85-597.2.jpg</t>
  </si>
  <si>
    <t>VO81-098</t>
  </si>
  <si>
    <t>VO81-098.1.jpg</t>
  </si>
  <si>
    <t>VO81-098.2.jpg</t>
  </si>
  <si>
    <t>Hornblende garnet diorite intruded by mafic dyke then aplite</t>
  </si>
  <si>
    <t>VO81-108</t>
  </si>
  <si>
    <t>VO81-108.jpg</t>
  </si>
  <si>
    <t>Metagabbro with residual fluid patches</t>
  </si>
  <si>
    <t>CG95-341.04.jpg</t>
  </si>
  <si>
    <t>Mafic dyke intruding granodioritic gneiss</t>
  </si>
  <si>
    <t>CG95-341.01.jpg</t>
  </si>
  <si>
    <t>CG95-341.02.jpg</t>
  </si>
  <si>
    <t>CG95-341.09.jpg</t>
  </si>
  <si>
    <t>Granodioritic gneiss with Tom Krogh</t>
  </si>
  <si>
    <t>CG84-147.6.jpg</t>
  </si>
  <si>
    <t>Well-banded amphibolite gneiss</t>
  </si>
  <si>
    <t>CG80-191.2.jpg</t>
  </si>
  <si>
    <t>CG87-469.02.jpg</t>
  </si>
  <si>
    <t>Close-up of migmatitic zone and early dyke</t>
  </si>
  <si>
    <t>CG80-390</t>
  </si>
  <si>
    <t>CG80-390.jpg</t>
  </si>
  <si>
    <t>Mafic layer twice folded</t>
  </si>
  <si>
    <t>VN84-269</t>
  </si>
  <si>
    <t>VN84-269.jpg</t>
  </si>
  <si>
    <t>Thrust zone(?) in metasedimentary gneiss</t>
  </si>
  <si>
    <t>VN84-281</t>
  </si>
  <si>
    <t>VN84-281.jpg</t>
  </si>
  <si>
    <t>Well-banded biotite garnet granodiorite</t>
  </si>
  <si>
    <t>VN84-293</t>
  </si>
  <si>
    <t>VN84-293.jpg</t>
  </si>
  <si>
    <t>Sinistral shear in well-banded biotite garnet granodiorite</t>
  </si>
  <si>
    <t>VN84-297</t>
  </si>
  <si>
    <t>VN84-297.jpg</t>
  </si>
  <si>
    <t>Well-banded amphibolite</t>
  </si>
  <si>
    <t>VN91-005.4.jpg</t>
  </si>
  <si>
    <t>Anhydrous metasedimentary gneiss discordantly intruded by fine-grained granite vein</t>
  </si>
  <si>
    <t>VN91-005.3.jpg</t>
  </si>
  <si>
    <t>CG85-465.3.jpg</t>
  </si>
  <si>
    <t>Stonecrop 3</t>
  </si>
  <si>
    <t>CG85-465.1.jpg</t>
  </si>
  <si>
    <t>Wild iris</t>
  </si>
  <si>
    <t>CG85-465.2.jpg</t>
  </si>
  <si>
    <t>Fireweed</t>
  </si>
  <si>
    <t>CG85-466</t>
  </si>
  <si>
    <t>CG85-466.1.jpg</t>
  </si>
  <si>
    <t>Remains of whaling station at Hawke Bay 1</t>
  </si>
  <si>
    <t>CG85-466.2.jpg</t>
  </si>
  <si>
    <t>Remains of whaling station at Hawke Bay 2</t>
  </si>
  <si>
    <t>VN84-452.1.jpg</t>
  </si>
  <si>
    <t>CG84-163</t>
  </si>
  <si>
    <t>CG84-163.1.jpg</t>
  </si>
  <si>
    <t>Granodiorite marginal to Alexis River anorthosite; intruded by mafic dyke</t>
  </si>
  <si>
    <t>CG84-163.2.jpg</t>
  </si>
  <si>
    <t>CG84-167</t>
  </si>
  <si>
    <t>CG84-167.jpg</t>
  </si>
  <si>
    <t>CG99-256</t>
  </si>
  <si>
    <t>CG99-256.jpg</t>
  </si>
  <si>
    <t>CG99-258</t>
  </si>
  <si>
    <t>CG99-258.jpg</t>
  </si>
  <si>
    <t>CG99-259</t>
  </si>
  <si>
    <t>CG99-259.2.jpg</t>
  </si>
  <si>
    <t>Well-banded gneiss, associated with pink, foliated granite</t>
  </si>
  <si>
    <t>CG99-259.1.jpg</t>
  </si>
  <si>
    <t>CG99-262</t>
  </si>
  <si>
    <t>CG99-262.jpg</t>
  </si>
  <si>
    <t>Granitic rock, foliated and gneissic</t>
  </si>
  <si>
    <t>CG99-263</t>
  </si>
  <si>
    <t>CG99-263.jpg</t>
  </si>
  <si>
    <t>CG99-284</t>
  </si>
  <si>
    <t>CG99-284.jpg</t>
  </si>
  <si>
    <t>CG99-285</t>
  </si>
  <si>
    <t>CG99-285.2.jpg</t>
  </si>
  <si>
    <t>CG84-174</t>
  </si>
  <si>
    <t>CG84-174.1.jpg</t>
  </si>
  <si>
    <t>Lineation in Alexis River anorthosite looking down plunge</t>
  </si>
  <si>
    <t>CG84-174.2.jpg</t>
  </si>
  <si>
    <t>Lineation in Alexis River anorthosite looking normal to plunge</t>
  </si>
  <si>
    <t>CG84-177</t>
  </si>
  <si>
    <t>CG84-177.jpg</t>
  </si>
  <si>
    <t>Granodiorite marginal to Alexis river anorthosite</t>
  </si>
  <si>
    <t>JS86-452</t>
  </si>
  <si>
    <t>JS86-452.jpg</t>
  </si>
  <si>
    <t>JS86-456</t>
  </si>
  <si>
    <t>JS86-456.jpg</t>
  </si>
  <si>
    <t>Metasedimentary gneiss with abundant garnet</t>
  </si>
  <si>
    <t>CG92-163.6.jpg</t>
  </si>
  <si>
    <t>CG86-746</t>
  </si>
  <si>
    <t>CG86-746.7.jpg</t>
  </si>
  <si>
    <t>Pre-dyke foliation in K-feldspar megacrystic granodiorite</t>
  </si>
  <si>
    <t>CG86-746.6.jpg</t>
  </si>
  <si>
    <t>Rotated mafic boudin showing dextral displacement</t>
  </si>
  <si>
    <t>CG86-746.5.jpg</t>
  </si>
  <si>
    <t>Mafic dyke truncating fabric in deformed K-feldspar megacrystic granodiorite</t>
  </si>
  <si>
    <t>CG86-746.2.jpg</t>
  </si>
  <si>
    <t>Deformed pegmatite dyke intruding amphibolite and showing dextral sense of transposition</t>
  </si>
  <si>
    <t>CG86-374</t>
  </si>
  <si>
    <t>CG86-374.1.jpg</t>
  </si>
  <si>
    <t>86-05</t>
  </si>
  <si>
    <t>Dextral rotation in K-feldspar porphyroclast</t>
  </si>
  <si>
    <t>CG86-374.2.jpg</t>
  </si>
  <si>
    <t>CG86-374.3.jpg</t>
  </si>
  <si>
    <t>CG86-376</t>
  </si>
  <si>
    <t>CG86-376.1.jpg</t>
  </si>
  <si>
    <t>Pseudotachylite</t>
  </si>
  <si>
    <t>CG86-376.2.jpg</t>
  </si>
  <si>
    <t>Z-folds and mylonite</t>
  </si>
  <si>
    <t>CG86-381</t>
  </si>
  <si>
    <t>CG86-381.1.jpg</t>
  </si>
  <si>
    <t>Amphibolite dyke</t>
  </si>
  <si>
    <t>CG86-381.2.jpg</t>
  </si>
  <si>
    <t>Deformed pegmatite intruding amphibolite</t>
  </si>
  <si>
    <t>NN80-089</t>
  </si>
  <si>
    <t>NN80-089.1.jpg</t>
  </si>
  <si>
    <t>Phylonite in shear zone</t>
  </si>
  <si>
    <t>NN80-090</t>
  </si>
  <si>
    <t>NN80-090.jpg</t>
  </si>
  <si>
    <t>NN80-091</t>
  </si>
  <si>
    <t>NN80-091.jpg</t>
  </si>
  <si>
    <t>Amphibolite in core of small fold</t>
  </si>
  <si>
    <t>NN80-096</t>
  </si>
  <si>
    <t>NN80-096.jpg</t>
  </si>
  <si>
    <t>Amphibolite in tonalite/granodiorite gneiss with pegmatite at contact</t>
  </si>
  <si>
    <t>NN80-097</t>
  </si>
  <si>
    <t>NN80-097.jpg</t>
  </si>
  <si>
    <t>Chlorite defining foliation in pegmatite</t>
  </si>
  <si>
    <t>CG03-156</t>
  </si>
  <si>
    <t>CG03-156.jpg</t>
  </si>
  <si>
    <t>Homogeneous grey granodiorite</t>
  </si>
  <si>
    <t>CG03-162</t>
  </si>
  <si>
    <t>CG03-162.jpg</t>
  </si>
  <si>
    <t>Well-banded gneiss intruded by grey quartz diorite</t>
  </si>
  <si>
    <t>CG03-167</t>
  </si>
  <si>
    <t>CG03-167.jpg</t>
  </si>
  <si>
    <t>Quartz monzonite to syenite intruded by pegmatite and then maroon aplite</t>
  </si>
  <si>
    <t>NN84-105.2.jpg</t>
  </si>
  <si>
    <t>Plagioclase megacrysts in Alexis River anorthosite</t>
  </si>
  <si>
    <t>CG99-308</t>
  </si>
  <si>
    <t>CG99-308.2.jpg</t>
  </si>
  <si>
    <t>Foliated granite or granitic gneiss</t>
  </si>
  <si>
    <t>CG99-311</t>
  </si>
  <si>
    <t>CG99-311.jpg</t>
  </si>
  <si>
    <t>CG99-321</t>
  </si>
  <si>
    <t>CG99-321.jpg</t>
  </si>
  <si>
    <t>Well-banded granitic gneiss (metasedimentary protolith?)</t>
  </si>
  <si>
    <t>CG99-324</t>
  </si>
  <si>
    <t>CG99-324.jpg</t>
  </si>
  <si>
    <t>CG99-325</t>
  </si>
  <si>
    <t>CG99-325.jpg</t>
  </si>
  <si>
    <t>Monzonite, homogeneous (late- to post-Grenvillian?)</t>
  </si>
  <si>
    <t>CG99-327.1.jpg</t>
  </si>
  <si>
    <t>NN84-107</t>
  </si>
  <si>
    <t>NN84-107.1.jpg</t>
  </si>
  <si>
    <t>Brittle fault zone</t>
  </si>
  <si>
    <t>NN84-107.2.jpg</t>
  </si>
  <si>
    <t>NN84-107.3.jpg</t>
  </si>
  <si>
    <t>NN84-121</t>
  </si>
  <si>
    <t>NN84-121.jpg</t>
  </si>
  <si>
    <t>Amphibolitic gneiss in strongly deformed K-feldspar megacrystic granodiorite</t>
  </si>
  <si>
    <t>NN84-134</t>
  </si>
  <si>
    <t>NN84-134.jpg</t>
  </si>
  <si>
    <t>Alexis River anorthosite and gabbro enclaves in marginal granodiorite</t>
  </si>
  <si>
    <t>JA92-030</t>
  </si>
  <si>
    <t>JA92-030.jpg</t>
  </si>
  <si>
    <t>Foliation in K-feldspar megacrystic granitoid rock</t>
  </si>
  <si>
    <t>JA92-031</t>
  </si>
  <si>
    <t>JA92-031.jpg</t>
  </si>
  <si>
    <t>White-weathering, strongly foliated K-feldspar megacrystic granitoid rock</t>
  </si>
  <si>
    <t>JA92-032</t>
  </si>
  <si>
    <t>JA92-032.3.jpg</t>
  </si>
  <si>
    <t>Hornblende crystals parallel to foliation in syenite</t>
  </si>
  <si>
    <t>JA92-032.1.jpg</t>
  </si>
  <si>
    <t>Weak to moderate foliation in fine- to medium-grained syenite</t>
  </si>
  <si>
    <t>SN86-179</t>
  </si>
  <si>
    <t>SN86-179.1.jpg</t>
  </si>
  <si>
    <t>Primary layering in gabbronorite, then granitic veining, then mafic dyke emplacement</t>
  </si>
  <si>
    <t>SN86-179.2.jpg</t>
  </si>
  <si>
    <t>Straight margin of mafic dyke in gabbronorite</t>
  </si>
  <si>
    <t>MN86-252</t>
  </si>
  <si>
    <t>MN86-252.jpg</t>
  </si>
  <si>
    <t>Biotite amphibolite pod in K-feldspar megacrystic granitoid</t>
  </si>
  <si>
    <t>MN86-353.2.jpg</t>
  </si>
  <si>
    <t>Hornblende crystals in pegmatite</t>
  </si>
  <si>
    <t>VN92-118</t>
  </si>
  <si>
    <t>VN92-118.2.jpg</t>
  </si>
  <si>
    <t>Shear zone in anorthosite</t>
  </si>
  <si>
    <t>NN80-058.6.jpg</t>
  </si>
  <si>
    <t>NN80-058.4.jpg</t>
  </si>
  <si>
    <t>Contrasting types of amphibolite in tonalitic/granodioritic gneiss</t>
  </si>
  <si>
    <t>CG85-145.6.jpg</t>
  </si>
  <si>
    <t>Sand Hill Big Pond - Brinex camp site 5 (Don Lake)</t>
  </si>
  <si>
    <t>DD91-091</t>
  </si>
  <si>
    <t>DD91-091.1.jpg</t>
  </si>
  <si>
    <t>VN87-328.1.jpg</t>
  </si>
  <si>
    <t>Strongly boudinaged amphibolite dykes in foliated granodiorite</t>
  </si>
  <si>
    <t>VN93-334.2.jpg</t>
  </si>
  <si>
    <t>Medium to coarse-grained granite</t>
  </si>
  <si>
    <t>CG85-613</t>
  </si>
  <si>
    <t>CG85-613.jpg</t>
  </si>
  <si>
    <t>Well-banded biotite tonalite/granodiorite gneiss (looks metasedimentary to me - CFG)</t>
  </si>
  <si>
    <t>CG85-614.1.jpg</t>
  </si>
  <si>
    <t>CG81-155</t>
  </si>
  <si>
    <t>CG81-155.jpg</t>
  </si>
  <si>
    <t>MN86-420</t>
  </si>
  <si>
    <t>MN86-420.jpg</t>
  </si>
  <si>
    <t>Biotite muscovite schist</t>
  </si>
  <si>
    <t>MN86-424</t>
  </si>
  <si>
    <t>MN86-424.jpg</t>
  </si>
  <si>
    <t>MN86-426</t>
  </si>
  <si>
    <t>MN86-426.jpg</t>
  </si>
  <si>
    <t>Microgranite with pegmatitic margins in K-feldspar megacrystic granodiorite</t>
  </si>
  <si>
    <t>SN86-310</t>
  </si>
  <si>
    <t>SN86-310.3.jpg</t>
  </si>
  <si>
    <t>Pegmatite in amphibolite</t>
  </si>
  <si>
    <t>CG80-585.3.jpg</t>
  </si>
  <si>
    <t>CG80-585.4.jpg</t>
  </si>
  <si>
    <t>VN87-209</t>
  </si>
  <si>
    <t>VN87-209.jpg</t>
  </si>
  <si>
    <t>VN92-097.2.jpg</t>
  </si>
  <si>
    <t>CG80-346</t>
  </si>
  <si>
    <t>CG80-346.1.jpg</t>
  </si>
  <si>
    <t>Isoclinally folded mafic dyke intruded by later mafic dyke</t>
  </si>
  <si>
    <t>CG80-346.2.jpg</t>
  </si>
  <si>
    <t>Migmatization in deformed clastic metasedimentary gneiss</t>
  </si>
  <si>
    <t>CG80-348</t>
  </si>
  <si>
    <t>CG80-348.5.jpg</t>
  </si>
  <si>
    <t>Gneissosity truncated by mafic dyke</t>
  </si>
  <si>
    <t>MC77-237.3.jpg</t>
  </si>
  <si>
    <t>SN86-221</t>
  </si>
  <si>
    <t>SN86-221.jpg</t>
  </si>
  <si>
    <t>Coarse-grained granite pods intruded into fine-grained granite</t>
  </si>
  <si>
    <t>CG86-115</t>
  </si>
  <si>
    <t>CG86-115.2.jpg</t>
  </si>
  <si>
    <t>Burnover 2</t>
  </si>
  <si>
    <t>CG92-151.2E.jpg</t>
  </si>
  <si>
    <t>Staircase Falls' - tributary of St. Paul River</t>
  </si>
  <si>
    <t>CG80-190</t>
  </si>
  <si>
    <t>CG80-190.jpg</t>
  </si>
  <si>
    <t>CG98-054</t>
  </si>
  <si>
    <t>CG98-054.jpg</t>
  </si>
  <si>
    <t>Monzonite with grey mesoperthite</t>
  </si>
  <si>
    <t>CG98-063</t>
  </si>
  <si>
    <t>CG98-063.jpg</t>
  </si>
  <si>
    <t>Monzonite with enclaves of fine-grained granulite enclave</t>
  </si>
  <si>
    <t>CG98-076</t>
  </si>
  <si>
    <t>CG98-076.jpg</t>
  </si>
  <si>
    <t>Medium-grained monzonite with cpx and opx</t>
  </si>
  <si>
    <t>CG98-080</t>
  </si>
  <si>
    <t>CG98-080.jpg</t>
  </si>
  <si>
    <t>Massive monzonite with indistinct layering</t>
  </si>
  <si>
    <t>CG98-082</t>
  </si>
  <si>
    <t>CG98-082.jpg</t>
  </si>
  <si>
    <t>Very coarse-grained anorthosite</t>
  </si>
  <si>
    <t>CG98-098.3.jpg</t>
  </si>
  <si>
    <t>CG98-098.2.jpg</t>
  </si>
  <si>
    <t>Monzonite; fractured and altered to greenschist facies minerals</t>
  </si>
  <si>
    <t>MN86-041</t>
  </si>
  <si>
    <t>MN86-041.2.jpg</t>
  </si>
  <si>
    <t>Garnet in Alexis River anorthosite; number in original photo was  erroneous- now corrected</t>
  </si>
  <si>
    <t>MN86-041.1.jpg</t>
  </si>
  <si>
    <t>Relict primary pyroxene cores mantled by hornblende in Alexis River metagabbro; number in original photo was  erroneous- now corrected</t>
  </si>
  <si>
    <t>VN91-020.7.jpg</t>
  </si>
  <si>
    <t>Folded quartz diorite gneiss</t>
  </si>
  <si>
    <t>VO81-075</t>
  </si>
  <si>
    <t>VO81-075.jpg</t>
  </si>
  <si>
    <t>Folded amphibolite dykes</t>
  </si>
  <si>
    <t>VO81-079</t>
  </si>
  <si>
    <t>VO81-079.1.jpg</t>
  </si>
  <si>
    <t>Abundant garnet in amphibolite</t>
  </si>
  <si>
    <t>VO81-079.3.jpg</t>
  </si>
  <si>
    <t>Deformed garnet porphyroblasts in amphibolite</t>
  </si>
  <si>
    <t>VO81-079.2.jpg</t>
  </si>
  <si>
    <t>VO81-080</t>
  </si>
  <si>
    <t>VO81-080.jpg</t>
  </si>
  <si>
    <t>Ultramafic dyke</t>
  </si>
  <si>
    <t>VO81-087</t>
  </si>
  <si>
    <t>VO81-087.jpg</t>
  </si>
  <si>
    <t>Migmatitic dioritic gneiss</t>
  </si>
  <si>
    <t>VO81-088</t>
  </si>
  <si>
    <t>VO81-088.1.jpg</t>
  </si>
  <si>
    <t>Diorite inclusions in fine-grained amphibolite</t>
  </si>
  <si>
    <t>VO81-088.2.jpg</t>
  </si>
  <si>
    <t>Fine-grained dark amphibolite in medium-grained amphibolite</t>
  </si>
  <si>
    <t>CG85-418.3.jpg</t>
  </si>
  <si>
    <t>Enclave of deformed rock intruded by mafic dyke</t>
  </si>
  <si>
    <t>CG85-418.2.jpg</t>
  </si>
  <si>
    <t>CG99-285.1.jpg</t>
  </si>
  <si>
    <t>CG99-287</t>
  </si>
  <si>
    <t>CG99-287.2.jpg</t>
  </si>
  <si>
    <t>Innu? camp site</t>
  </si>
  <si>
    <t>CG99-287.3.jpg</t>
  </si>
  <si>
    <t>MN86-056</t>
  </si>
  <si>
    <t>MN86-056.2.jpg</t>
  </si>
  <si>
    <t>Folded amphibolite and pegmatite</t>
  </si>
  <si>
    <t>MN86-056.1.jpg</t>
  </si>
  <si>
    <t>Folded amphibolitic gneiss; intruded by granitic dyke</t>
  </si>
  <si>
    <t>MN86-061</t>
  </si>
  <si>
    <t>MN86-061.jpg</t>
  </si>
  <si>
    <t>Boudinaged amphibolite layer in amphibolitic gneiss</t>
  </si>
  <si>
    <t>MN86-063</t>
  </si>
  <si>
    <t>MN86-063.2.jpg</t>
  </si>
  <si>
    <t>CG00-303</t>
  </si>
  <si>
    <t>CG00-303.jpg</t>
  </si>
  <si>
    <t>Banded amphibolite to leucoamphibolite</t>
  </si>
  <si>
    <t>CG00-306</t>
  </si>
  <si>
    <t>CG00-306.jpg</t>
  </si>
  <si>
    <t>Amphibolite with melt segregation</t>
  </si>
  <si>
    <t>CG00-310</t>
  </si>
  <si>
    <t>CG00-310.jpg</t>
  </si>
  <si>
    <t>Monzonite, late- to post-Grenvillian</t>
  </si>
  <si>
    <t>CG80-102.09.jpg</t>
  </si>
  <si>
    <t>Field Crew, G kids, KM and DA in Rigolet 2</t>
  </si>
  <si>
    <t>CG80-102.12.jpg</t>
  </si>
  <si>
    <t>Community of Rigolet 6</t>
  </si>
  <si>
    <t>CG80-102.11.jpg</t>
  </si>
  <si>
    <t>N and G in Rigolet 2</t>
  </si>
  <si>
    <t>HP92-090</t>
  </si>
  <si>
    <t>HP92-090.2.jpg</t>
  </si>
  <si>
    <t>CG03-323.2.jpg</t>
  </si>
  <si>
    <t>Fox cub</t>
  </si>
  <si>
    <t>CG03-323.3.jpg</t>
  </si>
  <si>
    <t>CG03-366</t>
  </si>
  <si>
    <t>CG03-366.jpg</t>
  </si>
  <si>
    <t>Quarry with sulphide and acid water</t>
  </si>
  <si>
    <t>CG03-371.1.jpg</t>
  </si>
  <si>
    <t>CG03-376</t>
  </si>
  <si>
    <t>CG03-376.jpg</t>
  </si>
  <si>
    <t>Dioritic rock intruded by mafic dyke</t>
  </si>
  <si>
    <t>CG03-381</t>
  </si>
  <si>
    <t>CG03-381.jpg</t>
  </si>
  <si>
    <t>Pelitic gneiss with greenish feldspar</t>
  </si>
  <si>
    <t>CG04-001</t>
  </si>
  <si>
    <t>CG04-001.1.jpg</t>
  </si>
  <si>
    <t>Diabase sill or dyke in gabbronorite</t>
  </si>
  <si>
    <t>CG04-001.2.jpg</t>
  </si>
  <si>
    <t>Pelitic gneiss?</t>
  </si>
  <si>
    <t>CG04-008</t>
  </si>
  <si>
    <t>CG04-008.jpg</t>
  </si>
  <si>
    <t>Fine to medium-grained metagabbronorite with leucosome stringers</t>
  </si>
  <si>
    <t>CG04-010</t>
  </si>
  <si>
    <t>CG04-010.jpg</t>
  </si>
  <si>
    <t>Mylonitic margin of gabbronorite megaboudin</t>
  </si>
  <si>
    <t>CG04-012</t>
  </si>
  <si>
    <t>CG04-012.1.jpg</t>
  </si>
  <si>
    <t>Sigmoidal structure at margin of mylonitized orange-pink granite</t>
  </si>
  <si>
    <t>CG04-012.2.jpg</t>
  </si>
  <si>
    <t>Mylonite between granite and gabbronorite</t>
  </si>
  <si>
    <t>CG04-012.3.jpg</t>
  </si>
  <si>
    <t>CG04-022</t>
  </si>
  <si>
    <t>CG04-022.jpg</t>
  </si>
  <si>
    <t>Pelitic gneiss</t>
  </si>
  <si>
    <t>VN84-189</t>
  </si>
  <si>
    <t>VN84-189.2.jpg</t>
  </si>
  <si>
    <t>Amphibolite chilled against feldspar-phyric gabbro; later granitic dykes</t>
  </si>
  <si>
    <t>VN84-190</t>
  </si>
  <si>
    <t>VN84-190.1.jpg</t>
  </si>
  <si>
    <t>Igneous layering in gabbro (dyke?)</t>
  </si>
  <si>
    <t>VN91-431.3.jpg</t>
  </si>
  <si>
    <t>Asymmetric folds in metasedimentary gneiss</t>
  </si>
  <si>
    <t>VN91-431.1.jpg</t>
  </si>
  <si>
    <t>AD79-114.2.jpg</t>
  </si>
  <si>
    <t>granite and granodiorite phases of strongly foliated megacrystic granitoid</t>
  </si>
  <si>
    <t>AD79-123</t>
  </si>
  <si>
    <t>AD79-123.jpg</t>
  </si>
  <si>
    <t>Strongly foliated zone of gabbro and quartz monzonite</t>
  </si>
  <si>
    <t>CG07-041</t>
  </si>
  <si>
    <t>CG07-041.jpg</t>
  </si>
  <si>
    <t>Boulder fractured in half</t>
  </si>
  <si>
    <t>CG07-086</t>
  </si>
  <si>
    <t>CG07-086.jpg</t>
  </si>
  <si>
    <t>Pelitic gneiss with large clots of recrystallized cordierite</t>
  </si>
  <si>
    <t>SN86-286</t>
  </si>
  <si>
    <t>SN86-286.1.jpg</t>
  </si>
  <si>
    <t>Garnet-quartz symplectite in sillimanite-bearing metasedimentary gneiss (dextral?)</t>
  </si>
  <si>
    <t>NN84-218</t>
  </si>
  <si>
    <t>NN84-218.2.jpg</t>
  </si>
  <si>
    <t>Well-banded granodioritic gneiss; garnet-rich</t>
  </si>
  <si>
    <t>NN84-218.3.jpg</t>
  </si>
  <si>
    <t>Well-banded granodioritic gneiss; garnet-rich; JO</t>
  </si>
  <si>
    <t>CG95-161</t>
  </si>
  <si>
    <t>CG95-161.4.jpg</t>
  </si>
  <si>
    <t>Banded gneiss of presumed metasedimentary origin</t>
  </si>
  <si>
    <t>CG95-176.2.jpg</t>
  </si>
  <si>
    <t>VN93-335</t>
  </si>
  <si>
    <t>VN93-335.1.jpg</t>
  </si>
  <si>
    <t>Banding in a rock of probable arkosic protolith</t>
  </si>
  <si>
    <t>VN93-335.2.jpg</t>
  </si>
  <si>
    <t>Banded garnetiferous, calc-silicate rock</t>
  </si>
  <si>
    <t>VN93-335.3.jpg</t>
  </si>
  <si>
    <t>Banding in calc-silicate rock</t>
  </si>
  <si>
    <t>VN93-342</t>
  </si>
  <si>
    <t>VN93-342.1.jpg</t>
  </si>
  <si>
    <t>Diffuse layering in quartzofeldspathic rocks of probable supracrustal origin</t>
  </si>
  <si>
    <t>VN93-353</t>
  </si>
  <si>
    <t>VN93-353.jpg</t>
  </si>
  <si>
    <t>Coarse-grained, massive Picton Pond quartz monzonite</t>
  </si>
  <si>
    <t>DD91-097</t>
  </si>
  <si>
    <t>DD91-097.2.jpg</t>
  </si>
  <si>
    <t>CG86-088.03.jpg</t>
  </si>
  <si>
    <t>Forest fire east of Port Hope Simpson 2</t>
  </si>
  <si>
    <t>CG86-088.01.jpg</t>
  </si>
  <si>
    <t>SN in helicopter</t>
  </si>
  <si>
    <t>GM85-476.5.jpg</t>
  </si>
  <si>
    <t>VO81-564</t>
  </si>
  <si>
    <t>VO81-564.jpg</t>
  </si>
  <si>
    <t>Fine-grained quartz monzodiorite and K-feldspar megacrystic granodiorite</t>
  </si>
  <si>
    <t>RG80-048</t>
  </si>
  <si>
    <t>RG80-048.jpg</t>
  </si>
  <si>
    <t>Splotchy garnet in amphibolite</t>
  </si>
  <si>
    <t>RG80-049</t>
  </si>
  <si>
    <t>RG80-049.3.jpg</t>
  </si>
  <si>
    <t>Brittle faulting(?) in locality of earlier fold</t>
  </si>
  <si>
    <t>RG80-049.2.jpg</t>
  </si>
  <si>
    <t>Garnetiferous quartz diorite gneiss</t>
  </si>
  <si>
    <t>RG80-049.4.jpg</t>
  </si>
  <si>
    <t>Mylonitic hornblende quartz diorite gneiss</t>
  </si>
  <si>
    <t>RG80-049.1.jpg</t>
  </si>
  <si>
    <t>Garnetiferous quartz diorite gneiss, mylonitic</t>
  </si>
  <si>
    <t>NN84-218.1.jpg</t>
  </si>
  <si>
    <t>CG85-598.1.jpg</t>
  </si>
  <si>
    <t>CG85-605</t>
  </si>
  <si>
    <t>CG85-605.jpg</t>
  </si>
  <si>
    <t>Z-folds in biotite hornblende granodiorite gneiss</t>
  </si>
  <si>
    <t>CG85-606</t>
  </si>
  <si>
    <t>CG85-606.jpg</t>
  </si>
  <si>
    <t>Mylonitic amphibolite</t>
  </si>
  <si>
    <t>CG85-608.8.jpg</t>
  </si>
  <si>
    <t>CG85-608.6.jpg</t>
  </si>
  <si>
    <t>CG85-608.7.jpg</t>
  </si>
  <si>
    <t>CG85-608.1.jpg</t>
  </si>
  <si>
    <t>CG85-608.2.jpg</t>
  </si>
  <si>
    <t>VN91-124.2.jpg</t>
  </si>
  <si>
    <t>K-feldspar megacrystic monzonite to quartz diorite</t>
  </si>
  <si>
    <t>VN91-125</t>
  </si>
  <si>
    <t>VN91-125.jpg</t>
  </si>
  <si>
    <t>K-feldspar quartz monzonite</t>
  </si>
  <si>
    <t>AL78-135</t>
  </si>
  <si>
    <t>AL78-135.1.jpg</t>
  </si>
  <si>
    <t>Adlavik gabbro with hornblende phenocrysts</t>
  </si>
  <si>
    <t>CG79-001</t>
  </si>
  <si>
    <t>CG79-001.1.jpg</t>
  </si>
  <si>
    <t>CG79-001.3.jpg</t>
  </si>
  <si>
    <t>Hornblende quartz monzonite to monzodiorite</t>
  </si>
  <si>
    <t>CG79-001.4.jpg</t>
  </si>
  <si>
    <t>Texture in gabbro</t>
  </si>
  <si>
    <t>CG79-001.6.jpg</t>
  </si>
  <si>
    <t>Contact between gabbro and quartz monzodiorite</t>
  </si>
  <si>
    <t>CG79-002</t>
  </si>
  <si>
    <t>CG79-002.2.jpg</t>
  </si>
  <si>
    <t>Flow texture in diorite</t>
  </si>
  <si>
    <t>CG79-002.3.jpg</t>
  </si>
  <si>
    <t>Pegmatitic (appinitic) leucogabbro dyke</t>
  </si>
  <si>
    <t>VN87-284</t>
  </si>
  <si>
    <t>VN87-284.jpg</t>
  </si>
  <si>
    <t>Mantled texture in K-feldspar megacrystic granitoid rock</t>
  </si>
  <si>
    <t>CG93-697</t>
  </si>
  <si>
    <t>CG93-697.2.jpg</t>
  </si>
  <si>
    <t>Enclave with dents-des-cheval in Upper Beaver Brook hornblende quartz monzonite</t>
  </si>
  <si>
    <t>CG93-698.7.jpg</t>
  </si>
  <si>
    <t>CG87-043</t>
  </si>
  <si>
    <t>CG87-043.jpg</t>
  </si>
  <si>
    <t>CG87-051</t>
  </si>
  <si>
    <t>CG87-051.jpg</t>
  </si>
  <si>
    <t>Layering in coarse-grained metaleucogabbronorite</t>
  </si>
  <si>
    <t>VN93-320.2.jpg</t>
  </si>
  <si>
    <t>RG80-203.2.jpg</t>
  </si>
  <si>
    <t>Amphibolite enclaves in granodiorite</t>
  </si>
  <si>
    <t>RG80-214</t>
  </si>
  <si>
    <t>RG80-214.jpg</t>
  </si>
  <si>
    <t>Foliated garnetiferous gabbro</t>
  </si>
  <si>
    <t>RG80-241</t>
  </si>
  <si>
    <t>RG80-241.1.jpg</t>
  </si>
  <si>
    <t>Well-banded gneiss of possible metasedimentary origin</t>
  </si>
  <si>
    <t>RG80-241.2.jpg</t>
  </si>
  <si>
    <t>Possible raft of paleosome in gneiss</t>
  </si>
  <si>
    <t>RG80-292</t>
  </si>
  <si>
    <t>RG80-292.jpg</t>
  </si>
  <si>
    <t>RG80-298</t>
  </si>
  <si>
    <t>RG80-298.jpg</t>
  </si>
  <si>
    <t>VN84-439</t>
  </si>
  <si>
    <t>VN84-439.3.jpg</t>
  </si>
  <si>
    <t>Metasedimentary gneiss?</t>
  </si>
  <si>
    <t>VN84-441</t>
  </si>
  <si>
    <t>VN84-441.jpg</t>
  </si>
  <si>
    <t>VN84-450</t>
  </si>
  <si>
    <t>VN84-450.2.jpg</t>
  </si>
  <si>
    <t>Psammitic gneiss and thin quartzite layers</t>
  </si>
  <si>
    <t>VN84-450.1.jpg</t>
  </si>
  <si>
    <t>VN84-451</t>
  </si>
  <si>
    <t>VN84-451.jpg</t>
  </si>
  <si>
    <t>Amphibolite interlayered with psammitic metasedimentary gneiss</t>
  </si>
  <si>
    <t>CG04-278.4.jpg</t>
  </si>
  <si>
    <t>RG80-101</t>
  </si>
  <si>
    <t>RG80-101.jpg</t>
  </si>
  <si>
    <t>CG03-197</t>
  </si>
  <si>
    <t>CG03-197.jpg</t>
  </si>
  <si>
    <t>Mylonitic augen fabric</t>
  </si>
  <si>
    <t>CG86-052</t>
  </si>
  <si>
    <t>CG86-052.jpg</t>
  </si>
  <si>
    <t>C &amp; S fabric indicating dextral transposition</t>
  </si>
  <si>
    <t>JS86-511</t>
  </si>
  <si>
    <t>JS86-511.jpg</t>
  </si>
  <si>
    <t>Dextrally rotated amphibolite boudin in metasedimentary gneiss</t>
  </si>
  <si>
    <t>JS86-519</t>
  </si>
  <si>
    <t>JS86-519.1.jpg</t>
  </si>
  <si>
    <t>K-feldspar megacrystic granodiorite with folded mafic dyke</t>
  </si>
  <si>
    <t>JS86-519.2.jpg</t>
  </si>
  <si>
    <t>K-feldspar megacrystic granodiorite with amphibolite</t>
  </si>
  <si>
    <t>JS87-022</t>
  </si>
  <si>
    <t>JS87-022.jpg</t>
  </si>
  <si>
    <t>Seriate to K-feldspar megacrystic granite</t>
  </si>
  <si>
    <t>CG79-327</t>
  </si>
  <si>
    <t>CG79-327.jpg</t>
  </si>
  <si>
    <t>Brecciated mafic dyke in monzodiorite</t>
  </si>
  <si>
    <t>CG79-328</t>
  </si>
  <si>
    <t>CG79-328.jpg</t>
  </si>
  <si>
    <t>Diorite intruded by quartz monzonite</t>
  </si>
  <si>
    <t>CG79-329</t>
  </si>
  <si>
    <t>CG79-329.jpg</t>
  </si>
  <si>
    <t>Ultramafic rock with poikilitic crystals (amphibolite after clinopyroxene?)</t>
  </si>
  <si>
    <t>CG79-331</t>
  </si>
  <si>
    <t>CG79-331.jpg</t>
  </si>
  <si>
    <t>Coarse-grained diorite intruded by boudinaged mafic dyke</t>
  </si>
  <si>
    <t>CG79-333</t>
  </si>
  <si>
    <t>CG79-333.jpg</t>
  </si>
  <si>
    <t>1 km NE of data station</t>
  </si>
  <si>
    <t>CG79-334</t>
  </si>
  <si>
    <t>CG79-334.2.jpg</t>
  </si>
  <si>
    <t>Young duck</t>
  </si>
  <si>
    <t>CG79-334.1.jpg</t>
  </si>
  <si>
    <t>Young ducks</t>
  </si>
  <si>
    <t>CG79-335</t>
  </si>
  <si>
    <t>CG79-335.jpg</t>
  </si>
  <si>
    <t>Agmatitic mixture of dioritic and more mafic rocks</t>
  </si>
  <si>
    <t>HP92-002</t>
  </si>
  <si>
    <t>HP92-002.jpg</t>
  </si>
  <si>
    <t>Pegmatitic vein in an erratic</t>
  </si>
  <si>
    <t>JS87-371</t>
  </si>
  <si>
    <t>JS87-371.jpg</t>
  </si>
  <si>
    <t>Well foliated quartz-rich granite</t>
  </si>
  <si>
    <t>VN93-041</t>
  </si>
  <si>
    <t>VN93-041.2.jpg</t>
  </si>
  <si>
    <t>Plagioclase porphyritic amphibolite dyke truncating fabric in monzonite</t>
  </si>
  <si>
    <t>VN93-041.3.jpg</t>
  </si>
  <si>
    <t>VN93-041.4.jpg</t>
  </si>
  <si>
    <t>Migmatized amphibolite zone in monzonite/granite</t>
  </si>
  <si>
    <t>VN93-045.1.jpg</t>
  </si>
  <si>
    <t>Net-veined amphibolite dyke</t>
  </si>
  <si>
    <t>CG86-043</t>
  </si>
  <si>
    <t>CG86-043.jpg</t>
  </si>
  <si>
    <t>Mafic dyke intruding granodiorite-tonalite gneiss</t>
  </si>
  <si>
    <t>CG86-045</t>
  </si>
  <si>
    <t>CG86-045.jpg</t>
  </si>
  <si>
    <t>Dextral transposition from K-feldspar megacrysts</t>
  </si>
  <si>
    <t>VN92-223.5.jpg</t>
  </si>
  <si>
    <t>Foliated granite enclave in granite</t>
  </si>
  <si>
    <t>VN92-225</t>
  </si>
  <si>
    <t>VN92-225.jpg</t>
  </si>
  <si>
    <t>Foliated syenite</t>
  </si>
  <si>
    <t>VN92-229</t>
  </si>
  <si>
    <t>VN92-229.jpg</t>
  </si>
  <si>
    <t>Unrecrystallized, weakly foliated monzonite</t>
  </si>
  <si>
    <t>VN92-231</t>
  </si>
  <si>
    <t>VN92-231.jpg</t>
  </si>
  <si>
    <t>VN92-232</t>
  </si>
  <si>
    <t>VN92-232.jpg</t>
  </si>
  <si>
    <t>VN92-233</t>
  </si>
  <si>
    <t>VN92-233.jpg</t>
  </si>
  <si>
    <t>Massive, unrecrystallized Upper St. Paul River (east) monzonite</t>
  </si>
  <si>
    <t>VN92-235</t>
  </si>
  <si>
    <t>VN92-235.jpg</t>
  </si>
  <si>
    <t>VN95-092</t>
  </si>
  <si>
    <t>VN95-092.jpg</t>
  </si>
  <si>
    <t>Weakly foliated, clinopyroxene-bearing monzonite</t>
  </si>
  <si>
    <t>CG87-340</t>
  </si>
  <si>
    <t>CG87-340.1.jpg</t>
  </si>
  <si>
    <t>Enclave of anorthosite in amphibolite</t>
  </si>
  <si>
    <t>CG87-340.2.jpg</t>
  </si>
  <si>
    <t>CG87-342</t>
  </si>
  <si>
    <t>CG87-342.jpg</t>
  </si>
  <si>
    <t>Straight-banded quartzofeldspathic gneiss</t>
  </si>
  <si>
    <t>CG04-217.3.jpg</t>
  </si>
  <si>
    <t>SN86-276</t>
  </si>
  <si>
    <t>SN86-276.2.jpg</t>
  </si>
  <si>
    <t>SN86-283</t>
  </si>
  <si>
    <t>SN86-283.jpg</t>
  </si>
  <si>
    <t>Mylonitic metasedimentary gneiss</t>
  </si>
  <si>
    <t>GM85-527</t>
  </si>
  <si>
    <t>GM85-527.1.jpg</t>
  </si>
  <si>
    <t>Biotite sillimanite metasedimentary gneiss with amphibolite veneers</t>
  </si>
  <si>
    <t>GM85-527.2.jpg</t>
  </si>
  <si>
    <t>GM85-527.3.jpg</t>
  </si>
  <si>
    <t>Biotite sillimanite metasedimentary gneiss with amphibolite veneers ; BL</t>
  </si>
  <si>
    <t>GM85-529.1.jpg</t>
  </si>
  <si>
    <t>SN86-155</t>
  </si>
  <si>
    <t>SN86-155.jpg</t>
  </si>
  <si>
    <t>Melanocratic igneous layer in white Bear Arm complex</t>
  </si>
  <si>
    <t>CG80-033</t>
  </si>
  <si>
    <t>CG80-033.jpg</t>
  </si>
  <si>
    <t>Quartz-feldspar-epidote-hematite rock</t>
  </si>
  <si>
    <t>CG80-034</t>
  </si>
  <si>
    <t>CG80-034.jpg</t>
  </si>
  <si>
    <t>CG80-037</t>
  </si>
  <si>
    <t>CG80-037.2.jpg</t>
  </si>
  <si>
    <t>Massive centre of gabbro intruded by pegmatite</t>
  </si>
  <si>
    <t>CG87-432</t>
  </si>
  <si>
    <t>CG87-432.jpg</t>
  </si>
  <si>
    <t>Mylonitic granitoid rocks</t>
  </si>
  <si>
    <t>CG87-433</t>
  </si>
  <si>
    <t>CG87-433.1.jpg</t>
  </si>
  <si>
    <t>Mylonitic granitoid rocks; mainly dioritic</t>
  </si>
  <si>
    <t>CG87-445.4.jpg</t>
  </si>
  <si>
    <t>Enclaves of felsic gneiss (possibly supracrustal) in Cape Charles granite</t>
  </si>
  <si>
    <t>CG93-698.5.jpg</t>
  </si>
  <si>
    <t>CG00-147.2.jpg</t>
  </si>
  <si>
    <t>CG00-147.3.jpg</t>
  </si>
  <si>
    <t>Well-banded gneiss in contact with K-feldspar megacrystic granite</t>
  </si>
  <si>
    <t>CG85-249</t>
  </si>
  <si>
    <t>CG85-249.jpg</t>
  </si>
  <si>
    <t>CG07-123.3.jpg</t>
  </si>
  <si>
    <t>Mink</t>
  </si>
  <si>
    <t>CG07-123.4.jpg</t>
  </si>
  <si>
    <t>CG07-123.5.jpg</t>
  </si>
  <si>
    <t>CG07-123.6.jpg</t>
  </si>
  <si>
    <t>CG07-123.8.jpg</t>
  </si>
  <si>
    <t>CG79-174.3.jpg</t>
  </si>
  <si>
    <t>Camp at mouth of Michael River; 1.2 km s. of data stn</t>
  </si>
  <si>
    <t>CG79-176</t>
  </si>
  <si>
    <t>CG79-176.jpg</t>
  </si>
  <si>
    <t>Folded and undeformed mafic dykes</t>
  </si>
  <si>
    <t>CG79-180</t>
  </si>
  <si>
    <t>CG79-180.2.jpg</t>
  </si>
  <si>
    <t>CG79-180.1.jpg</t>
  </si>
  <si>
    <t>CG79-183</t>
  </si>
  <si>
    <t>CG79-183.jpg</t>
  </si>
  <si>
    <t>K-feldspar megacrystic hornblende quartz monzonite</t>
  </si>
  <si>
    <t>CG79-195</t>
  </si>
  <si>
    <t>CG79-195.jpg</t>
  </si>
  <si>
    <t>Well banded tonalitic/granodioritic gneiss</t>
  </si>
  <si>
    <t>CG79-200</t>
  </si>
  <si>
    <t>CG79-200.5.jpg</t>
  </si>
  <si>
    <t>Wild irises</t>
  </si>
  <si>
    <t>CG79-200.4.jpg</t>
  </si>
  <si>
    <t>CG79-200.2.jpg</t>
  </si>
  <si>
    <t>Shoreline on north side of Jeanette Bay</t>
  </si>
  <si>
    <t>CG79-200.3.jpg</t>
  </si>
  <si>
    <t>Foliated to gneiss quartz diorite</t>
  </si>
  <si>
    <t>CG79-200.1.jpg</t>
  </si>
  <si>
    <t>Foliated to gneissic quartz diorite with deformed mafic dyke</t>
  </si>
  <si>
    <t>CG79-216</t>
  </si>
  <si>
    <t>CG79-216.jpg</t>
  </si>
  <si>
    <t>K-feldspar megacrystic rock with mafic enclaves</t>
  </si>
  <si>
    <t>CG79-048.1.jpg</t>
  </si>
  <si>
    <t>Igneous cross-bedding in granite</t>
  </si>
  <si>
    <t>CG79-050</t>
  </si>
  <si>
    <t>CG79-050.1.jpg</t>
  </si>
  <si>
    <t>Horizontal mafic dykes in granite</t>
  </si>
  <si>
    <t>CG79-054</t>
  </si>
  <si>
    <t>CG79-054.1.jpg</t>
  </si>
  <si>
    <t>CG79-065</t>
  </si>
  <si>
    <t>CG79-065.2.jpg</t>
  </si>
  <si>
    <t>Felsic volcanic breccia intruded by two ages of mafic dyke</t>
  </si>
  <si>
    <t>CG86-700</t>
  </si>
  <si>
    <t>CG86-700.jpg</t>
  </si>
  <si>
    <t>Upper St. Lewis River (west) granite; geochronology sample site</t>
  </si>
  <si>
    <t>CG80-151</t>
  </si>
  <si>
    <t>CG80-151.jpg</t>
  </si>
  <si>
    <t>Flaggy, biotite-rich metasedimentary(?) gneiss; mylonitic</t>
  </si>
  <si>
    <t>VN93-038.4.jpg</t>
  </si>
  <si>
    <t>VN93-038.3.jpg</t>
  </si>
  <si>
    <t>Fine-grained granitic vein intruding Red Bay gabbronorite</t>
  </si>
  <si>
    <t>CG03-010</t>
  </si>
  <si>
    <t>CG03-010.jpg</t>
  </si>
  <si>
    <t>Monzonite containing mafic/dioritic enclave</t>
  </si>
  <si>
    <t>CG03-012</t>
  </si>
  <si>
    <t>CG03-012.jpg</t>
  </si>
  <si>
    <t>Monzonite, hornblende quartz, homogeneous</t>
  </si>
  <si>
    <t>CG03-014</t>
  </si>
  <si>
    <t>CG03-014.jpg</t>
  </si>
  <si>
    <t>Granite, foliated</t>
  </si>
  <si>
    <t>CG85-506</t>
  </si>
  <si>
    <t>CG85-506.jpg</t>
  </si>
  <si>
    <t>Mafic dyke intruding pegmatite and diorite</t>
  </si>
  <si>
    <t>CG97-014</t>
  </si>
  <si>
    <t>CG97-014.2.jpg</t>
  </si>
  <si>
    <t>CG97-014.1.jpg</t>
  </si>
  <si>
    <t>CG97-015</t>
  </si>
  <si>
    <t>CG97-015.jpg</t>
  </si>
  <si>
    <t>Texture in Mealy(?) dyke</t>
  </si>
  <si>
    <t>CG97-022</t>
  </si>
  <si>
    <t>CG97-022.jpg</t>
  </si>
  <si>
    <t>Coarse-grained amphibolite with incipient melt patches</t>
  </si>
  <si>
    <t>AD79-090</t>
  </si>
  <si>
    <t>AD79-090.1.jpg</t>
  </si>
  <si>
    <t>Pyroxenite intruded by syenite</t>
  </si>
  <si>
    <t>AD79-090.2.jpg</t>
  </si>
  <si>
    <t>Pyroxenite segregation in gabbro</t>
  </si>
  <si>
    <t>CG00-043.4.jpg</t>
  </si>
  <si>
    <t>Camp site bear damage 3; location 1km N. of CG00-043</t>
  </si>
  <si>
    <t>SN86-336</t>
  </si>
  <si>
    <t>SN86-336.1.jpg</t>
  </si>
  <si>
    <t>Folded amphibolitic gneiss</t>
  </si>
  <si>
    <t>SN86-336.2.jpg</t>
  </si>
  <si>
    <t>Migmatitic amphibolite gneiss</t>
  </si>
  <si>
    <t>SN86-337.1.jpg</t>
  </si>
  <si>
    <t>Granodiorite intruded into amphibolite and diorite</t>
  </si>
  <si>
    <t>SN86-337.3.jpg</t>
  </si>
  <si>
    <t>Deformed diorite and amphibolite</t>
  </si>
  <si>
    <t>SN86-337.2.jpg</t>
  </si>
  <si>
    <t>Amphibolite with minor pegmatite</t>
  </si>
  <si>
    <t>CG00-043.6.jpg</t>
  </si>
  <si>
    <t>Camp site, D cooking breakfast; location 1km N. of CG00-043</t>
  </si>
  <si>
    <t>CG00-043.1.jpg</t>
  </si>
  <si>
    <t>1km N. of CG00-043</t>
  </si>
  <si>
    <t>CG00-087</t>
  </si>
  <si>
    <t>CG00-087.1.jpg</t>
  </si>
  <si>
    <t>View of St. Augustin River, southern part of map region; location is CG00-078</t>
  </si>
  <si>
    <t>CG00-087.2.jpg</t>
  </si>
  <si>
    <t>View of St. Augustin River, southern part of map region; location is near CG00-078</t>
  </si>
  <si>
    <t>CG04-106.02.jpg</t>
  </si>
  <si>
    <t>VN91-292.1.jpg</t>
  </si>
  <si>
    <t>VN91-292.4.jpg</t>
  </si>
  <si>
    <t>Foliated K-feldspar megacrystic granite</t>
  </si>
  <si>
    <t>VN93-050</t>
  </si>
  <si>
    <t>VN93-050.4.jpg</t>
  </si>
  <si>
    <t>Pelitic and psammitic layers in metasedimentary gneiss</t>
  </si>
  <si>
    <t>VN93-050.3.jpg</t>
  </si>
  <si>
    <t>Quartzite and sillimanite-bearing pelitic gneiss</t>
  </si>
  <si>
    <t>VN93-050.2.jpg</t>
  </si>
  <si>
    <t>Boudinaged neck in gneiss of possible metasedimentary origin</t>
  </si>
  <si>
    <t>VN93-050.1.jpg</t>
  </si>
  <si>
    <t>Diorite/amphibolite and granitic gneiss enclave in fine-grained granite</t>
  </si>
  <si>
    <t>VN93-052</t>
  </si>
  <si>
    <t>VN93-052.1.jpg</t>
  </si>
  <si>
    <t>Pelitic and psammitic and quartzitic layers in metasedimentary gneiss</t>
  </si>
  <si>
    <t>CG93-122.2.jpg</t>
  </si>
  <si>
    <t>CG00-185</t>
  </si>
  <si>
    <t>CG00-185.jpg</t>
  </si>
  <si>
    <t>Massive, late- to post-Grenvillian granite, Halfway Pond pluton</t>
  </si>
  <si>
    <t>CG00-191</t>
  </si>
  <si>
    <t>CG00-191.jpg</t>
  </si>
  <si>
    <t>CG00-195</t>
  </si>
  <si>
    <t>CG00-195.jpg</t>
  </si>
  <si>
    <t>CG00-196</t>
  </si>
  <si>
    <t>CG00-196.jpg</t>
  </si>
  <si>
    <t>Foliated biotite granite with discordant pegmatite</t>
  </si>
  <si>
    <t>CG00-198</t>
  </si>
  <si>
    <t>CG00-198.1.jpg</t>
  </si>
  <si>
    <t>Foliated biotite granite intruded by pegmatite</t>
  </si>
  <si>
    <t>CG00-198.2.jpg</t>
  </si>
  <si>
    <t>Granite to granodiorite gneiss</t>
  </si>
  <si>
    <t>NN84-511</t>
  </si>
  <si>
    <t>NN84-511.jpg</t>
  </si>
  <si>
    <t>Well-banded hornblende tonalitic gneiss</t>
  </si>
  <si>
    <t>NN84-540</t>
  </si>
  <si>
    <t>NN84-540.1.jpg</t>
  </si>
  <si>
    <t>Granulite, net-veined</t>
  </si>
  <si>
    <t>NN84-540.2.jpg</t>
  </si>
  <si>
    <t>PE82-149</t>
  </si>
  <si>
    <t>PE82-149.2.jpg</t>
  </si>
  <si>
    <t>Double Mer Formation cross beds 2</t>
  </si>
  <si>
    <t>CG80-219</t>
  </si>
  <si>
    <t>CG80-219.1.jpg</t>
  </si>
  <si>
    <t>Kalmia</t>
  </si>
  <si>
    <t>GM85-491</t>
  </si>
  <si>
    <t>GM85-491.1.jpg</t>
  </si>
  <si>
    <t>Dioritic protrusion into host rock</t>
  </si>
  <si>
    <t>GM85-491.2.jpg</t>
  </si>
  <si>
    <t>GM85-494</t>
  </si>
  <si>
    <t>GM85-494.3.jpg</t>
  </si>
  <si>
    <t>Psammite</t>
  </si>
  <si>
    <t>GM85-494.2.jpg</t>
  </si>
  <si>
    <t>GM85-494.1.jpg</t>
  </si>
  <si>
    <t>GM85-496.2.jpg</t>
  </si>
  <si>
    <t>GM85-496.3.jpg</t>
  </si>
  <si>
    <t>CG97-161.5.jpg</t>
  </si>
  <si>
    <t>VN92-101.2.jpg</t>
  </si>
  <si>
    <t>Orthopyroxene zone in leucogabbro/leucodiorite</t>
  </si>
  <si>
    <t>CG86-180</t>
  </si>
  <si>
    <t>CG86-180.jpg</t>
  </si>
  <si>
    <t>VN91-005.2.jpg</t>
  </si>
  <si>
    <t>VN91-008</t>
  </si>
  <si>
    <t>VN91-008.1.jpg</t>
  </si>
  <si>
    <t>VN91-008.2.jpg</t>
  </si>
  <si>
    <t>VN91-012</t>
  </si>
  <si>
    <t>VN91-012.jpg</t>
  </si>
  <si>
    <t>Strongly foliated hornblende biotite magnetite quartz diorite</t>
  </si>
  <si>
    <t>VN91-013</t>
  </si>
  <si>
    <t>VN91-013.1.jpg</t>
  </si>
  <si>
    <t>Strongly foliated, mafic-mineral-rich granite</t>
  </si>
  <si>
    <t>VN91-013.2.jpg</t>
  </si>
  <si>
    <t>Strongly foliated biotite granite gneiss</t>
  </si>
  <si>
    <t>VN91-014</t>
  </si>
  <si>
    <t>VN91-014.1.jpg</t>
  </si>
  <si>
    <t>Coarse-grained massive granite - late- to post-Grenvillian?</t>
  </si>
  <si>
    <t>CG79-797.2.jpg</t>
  </si>
  <si>
    <t>Isoclinal fold in tonalite/granodiorite gneiss</t>
  </si>
  <si>
    <t>CG79-797.3.jpg</t>
  </si>
  <si>
    <t>Quartz-rich rock of possible metasedimentary origin</t>
  </si>
  <si>
    <t>DL93-287</t>
  </si>
  <si>
    <t>DL93-287.jpg</t>
  </si>
  <si>
    <t>JS86-184</t>
  </si>
  <si>
    <t>JS86-184.jpg</t>
  </si>
  <si>
    <t>Folded granodioritic gneiss with K-feldspar megacrysts</t>
  </si>
  <si>
    <t>JS86-198</t>
  </si>
  <si>
    <t>JS86-198.jpg</t>
  </si>
  <si>
    <t>Granitic dyke intruding biotite muscovite granitoid rock</t>
  </si>
  <si>
    <t>GM85-516.5.jpg</t>
  </si>
  <si>
    <t>GM85-516.1.jpg</t>
  </si>
  <si>
    <t>GM85-516.8.jpg</t>
  </si>
  <si>
    <t>GM85-516.2.jpg</t>
  </si>
  <si>
    <t>GM85-516.3.jpg</t>
  </si>
  <si>
    <t>VN92-138.3.jpg</t>
  </si>
  <si>
    <t>VN92-138.1.jpg</t>
  </si>
  <si>
    <t>VN92-160.3.jpg</t>
  </si>
  <si>
    <t>JS87-392.1.jpg</t>
  </si>
  <si>
    <t>Biotite granite intruded by pegmatite</t>
  </si>
  <si>
    <t>SN86-108</t>
  </si>
  <si>
    <t>SN86-108.jpg</t>
  </si>
  <si>
    <t>SN86-109</t>
  </si>
  <si>
    <t>SN86-109.jpg</t>
  </si>
  <si>
    <t>SN86-132</t>
  </si>
  <si>
    <t>SN86-132.jpg</t>
  </si>
  <si>
    <t>MN86-386</t>
  </si>
  <si>
    <t>MN86-386.jpg</t>
  </si>
  <si>
    <t>CG86-707</t>
  </si>
  <si>
    <t>CG86-707.jpg</t>
  </si>
  <si>
    <t>Mafic dyke</t>
  </si>
  <si>
    <t>LC85-002</t>
  </si>
  <si>
    <t>LC85-002.3.jpg</t>
  </si>
  <si>
    <t>85-17</t>
  </si>
  <si>
    <t>K-feldspar megacrystic biotite quartz diorite, intruded by fine-grained granitic dyke</t>
  </si>
  <si>
    <t>CG85-617.2.jpg</t>
  </si>
  <si>
    <t>CG92-163.3E.jpg</t>
  </si>
  <si>
    <t>CG92-163.1.jpg</t>
  </si>
  <si>
    <t>CG92-163.2.jpg</t>
  </si>
  <si>
    <t>CG92-164</t>
  </si>
  <si>
    <t>CG92-164.1.jpg</t>
  </si>
  <si>
    <t>Mantled feldspars in Upper St. Paul River (east) monzonite</t>
  </si>
  <si>
    <t>CG92-164.3.jpg</t>
  </si>
  <si>
    <t>CG80-195</t>
  </si>
  <si>
    <t>CG80-195.jpg</t>
  </si>
  <si>
    <t>Segregation in quartz diorite</t>
  </si>
  <si>
    <t>CG80-200.1.jpg</t>
  </si>
  <si>
    <t>Metagabbro intruded by diabase then pegmatite. Tectonic truncation?</t>
  </si>
  <si>
    <t>VN91-117.2.jpg</t>
  </si>
  <si>
    <t>VN91-118</t>
  </si>
  <si>
    <t>VN91-118.2.jpg</t>
  </si>
  <si>
    <t>Recrystallized K-feldspar megacrysts in granite</t>
  </si>
  <si>
    <t>VN91-121</t>
  </si>
  <si>
    <t>VN91-121.jpg</t>
  </si>
  <si>
    <t>Hornblende biotite diorite texture</t>
  </si>
  <si>
    <t>VN91-122</t>
  </si>
  <si>
    <t>VN91-122.1.jpg</t>
  </si>
  <si>
    <t>Large fractured garnets in hornblende biotite diorite</t>
  </si>
  <si>
    <t>VN91-122.4.jpg</t>
  </si>
  <si>
    <t>Garnets in finer-grained granite</t>
  </si>
  <si>
    <t>VN91-122.2.jpg</t>
  </si>
  <si>
    <t>Garnets in hornblende biotite diorite</t>
  </si>
  <si>
    <t>VN91-122.3.jpg</t>
  </si>
  <si>
    <t>Garnets in pegmatite intruding hornblende biotite diorite</t>
  </si>
  <si>
    <t>CG79-924</t>
  </si>
  <si>
    <t>CG79-924.1.jpg</t>
  </si>
  <si>
    <t>CG79-924.2.jpg</t>
  </si>
  <si>
    <t>Well banded and folded tonalitic/granodiorite gneiss</t>
  </si>
  <si>
    <t>CG79-934</t>
  </si>
  <si>
    <t>CG79-934.jpg</t>
  </si>
  <si>
    <t>Quartz monzonite to granite intruded by plagioclase-phyric and non-phyric mafic dykes</t>
  </si>
  <si>
    <t>CG98-218.1.jpg</t>
  </si>
  <si>
    <t>Outcrop island, north side</t>
  </si>
  <si>
    <t>CG98-218.2.jpg</t>
  </si>
  <si>
    <t>Crooks Lake; looking west from Outcrop island</t>
  </si>
  <si>
    <t>MC77-238.2.jpg</t>
  </si>
  <si>
    <t>Boudin neck between gabbro pods, and behaviour of pegmatite</t>
  </si>
  <si>
    <t>CG84-174.3.jpg</t>
  </si>
  <si>
    <t>Alexis River anorthosite containing folded amphibolite dyke</t>
  </si>
  <si>
    <t>CG99-076.1.jpg</t>
  </si>
  <si>
    <t>Metamorphosed leucogabbro with microgranite dykes</t>
  </si>
  <si>
    <t>CG99-078</t>
  </si>
  <si>
    <t>CG99-078.jpg</t>
  </si>
  <si>
    <t>Mylonite in metagabbro, dextral displacement</t>
  </si>
  <si>
    <t>CG99-079</t>
  </si>
  <si>
    <t>CG99-079.2.jpg</t>
  </si>
  <si>
    <t>Fault-displaced mafic dyke in monzonorite/gabbro</t>
  </si>
  <si>
    <t>CG99-079.1.jpg</t>
  </si>
  <si>
    <t>Monzonite sampled for geochronology</t>
  </si>
  <si>
    <t>DD91-005</t>
  </si>
  <si>
    <t>DD91-005.1.jpg</t>
  </si>
  <si>
    <t>DD91-005.2.jpg</t>
  </si>
  <si>
    <t>DD91-006.2.jpg</t>
  </si>
  <si>
    <t>DD91-006.1.jpg</t>
  </si>
  <si>
    <t>DD91-007</t>
  </si>
  <si>
    <t>DD91-007.1.jpg</t>
  </si>
  <si>
    <t>Texture of gabbro</t>
  </si>
  <si>
    <t>DD91-007.2.jpg</t>
  </si>
  <si>
    <t>DD91-007.3.jpg</t>
  </si>
  <si>
    <t>DD91-007.4.jpg</t>
  </si>
  <si>
    <t>Melagabbro</t>
  </si>
  <si>
    <t>DD91-007.5.jpg</t>
  </si>
  <si>
    <t>Complexly folded metasedimentary gneiss</t>
  </si>
  <si>
    <t>DD91-014</t>
  </si>
  <si>
    <t>DD91-014.2.jpg</t>
  </si>
  <si>
    <t>Homogeneous gabbronorite of White Bear Arm complex</t>
  </si>
  <si>
    <t>DD91-014.1.jpg</t>
  </si>
  <si>
    <t>DD91-015</t>
  </si>
  <si>
    <t>DD91-015.2.jpg</t>
  </si>
  <si>
    <t>Layering (igneous?) in metagabbro</t>
  </si>
  <si>
    <t>DD91-015.1.jpg</t>
  </si>
  <si>
    <t>DD91-016.1.jpg</t>
  </si>
  <si>
    <t>CG86-708</t>
  </si>
  <si>
    <t>CG86-708.jpg</t>
  </si>
  <si>
    <t>K-feldspar megacrystic granodiorite with incipient melt</t>
  </si>
  <si>
    <t>CG92-256</t>
  </si>
  <si>
    <t>CG92-256.1.jpg</t>
  </si>
  <si>
    <t>Monzodiorite and granite (number on rock in slide is erroneous)</t>
  </si>
  <si>
    <t>CG92-256.2.jpg</t>
  </si>
  <si>
    <t>CG92-269.2.jpg</t>
  </si>
  <si>
    <t>Riviere Bujeault headwaters alkali-feldspar quartz syenite</t>
  </si>
  <si>
    <t>CG86-523</t>
  </si>
  <si>
    <t>CG86-523.2.jpg</t>
  </si>
  <si>
    <t>South-verging folds in metasedimentary gneiss</t>
  </si>
  <si>
    <t>CG93-027</t>
  </si>
  <si>
    <t>CG93-027.2.jpg</t>
  </si>
  <si>
    <t>Metasedimentary gneiss enclave in Lower Pinware River alkali-feldspar syenite</t>
  </si>
  <si>
    <t>CG93-028</t>
  </si>
  <si>
    <t>CG93-028.jpg</t>
  </si>
  <si>
    <t>Mafic dyke intruding foliated granite</t>
  </si>
  <si>
    <t>CG79-066.1.jpg</t>
  </si>
  <si>
    <t>Fine-grained mela-amphibolite</t>
  </si>
  <si>
    <t>CG99-106</t>
  </si>
  <si>
    <t>CG99-106.jpg</t>
  </si>
  <si>
    <t>Metamorphosed melagabbro to ultramafite</t>
  </si>
  <si>
    <t>CG99-127</t>
  </si>
  <si>
    <t>CG99-127.jpg</t>
  </si>
  <si>
    <t>Foliated hornblende biotite granite</t>
  </si>
  <si>
    <t>CG99-147</t>
  </si>
  <si>
    <t>CG99-147.jpg</t>
  </si>
  <si>
    <t>CG99-168</t>
  </si>
  <si>
    <t>CG99-168.jpg</t>
  </si>
  <si>
    <t>CG99-174</t>
  </si>
  <si>
    <t>CG99-174.jpg</t>
  </si>
  <si>
    <t>Dextral shear in granitic gneiss</t>
  </si>
  <si>
    <t>CG99-175</t>
  </si>
  <si>
    <t>CG99-175.jpg</t>
  </si>
  <si>
    <t>CG99-237</t>
  </si>
  <si>
    <t>CG99-237.jpg</t>
  </si>
  <si>
    <t>CG99-238</t>
  </si>
  <si>
    <t>CG99-238.jpg</t>
  </si>
  <si>
    <t>CG99-243</t>
  </si>
  <si>
    <t>CG99-243.jpg</t>
  </si>
  <si>
    <t>GM85-575.1.jpg</t>
  </si>
  <si>
    <t>CG04-110.2.jpg</t>
  </si>
  <si>
    <t>Kinematic indicator north (right)-side-up; rotated feldspar</t>
  </si>
  <si>
    <t>CG04-110.3.jpg</t>
  </si>
  <si>
    <t>Tight fold suggesting north (right)-side-up</t>
  </si>
  <si>
    <t>CG04-111</t>
  </si>
  <si>
    <t>CG04-111.jpg</t>
  </si>
  <si>
    <t>Steep lineations at margin of metagabbro mega-boudin</t>
  </si>
  <si>
    <t>CG04-121</t>
  </si>
  <si>
    <t>CG04-121.jpg</t>
  </si>
  <si>
    <t>Refolded folds</t>
  </si>
  <si>
    <t>CG04-122</t>
  </si>
  <si>
    <t>CG04-122.jpg</t>
  </si>
  <si>
    <t>Megaboudin</t>
  </si>
  <si>
    <t>CG04-127</t>
  </si>
  <si>
    <t>CG04-127.jpg</t>
  </si>
  <si>
    <t>St Michael's Bay west of Pinsent's Arm</t>
  </si>
  <si>
    <t>CG04-130</t>
  </si>
  <si>
    <t>CG04-130.2.jpg</t>
  </si>
  <si>
    <t>CG04-130.1.jpg</t>
  </si>
  <si>
    <t>CG04-134</t>
  </si>
  <si>
    <t>CG04-134.jpg</t>
  </si>
  <si>
    <t>CG04-141.1.jpg</t>
  </si>
  <si>
    <t>SN86-361</t>
  </si>
  <si>
    <t>SN86-361.jpg</t>
  </si>
  <si>
    <t>White Bear Arm gabbronorite, coronitic</t>
  </si>
  <si>
    <t>SN86-362</t>
  </si>
  <si>
    <t>SN86-362.2.jpg</t>
  </si>
  <si>
    <t>Layering in White Bear Arm complex, coronitic</t>
  </si>
  <si>
    <t>SN86-362.3.jpg</t>
  </si>
  <si>
    <t>SN86-362.1.jpg</t>
  </si>
  <si>
    <t>SN86-365</t>
  </si>
  <si>
    <t>SN86-365.jpg</t>
  </si>
  <si>
    <t>Segregation in White Bear Arm gabbronorite (0n island 600 m S. of data stn.)</t>
  </si>
  <si>
    <t>SN86-377.1.jpg</t>
  </si>
  <si>
    <t>Amphibolite</t>
  </si>
  <si>
    <t>CG86-523.1.jpg</t>
  </si>
  <si>
    <t>VN91-185</t>
  </si>
  <si>
    <t>VN91-185.jpg</t>
  </si>
  <si>
    <t>Granodiorite/granite gneiss</t>
  </si>
  <si>
    <t>CG79-288.4.jpg</t>
  </si>
  <si>
    <t>Amphibolite rafts</t>
  </si>
  <si>
    <t>CG79-303</t>
  </si>
  <si>
    <t>CG79-303.jpg</t>
  </si>
  <si>
    <t>Hornblende granite</t>
  </si>
  <si>
    <t>CG79-306</t>
  </si>
  <si>
    <t>CG79-306.jpg</t>
  </si>
  <si>
    <t>Layered quartz diorite</t>
  </si>
  <si>
    <t>VO81-293</t>
  </si>
  <si>
    <t>VO81-293.2.jpg</t>
  </si>
  <si>
    <t>Igneous layering in mafic rock</t>
  </si>
  <si>
    <t>VO81-293.1.jpg</t>
  </si>
  <si>
    <t>VO81-568.1.jpg</t>
  </si>
  <si>
    <t>VO81-569.1.jpg</t>
  </si>
  <si>
    <t>VO81-569.3.jpg</t>
  </si>
  <si>
    <t>VN87-431</t>
  </si>
  <si>
    <t>VN87-431.jpg</t>
  </si>
  <si>
    <t>Small zone of non-megacrystic granite gradational into megacrystic granite</t>
  </si>
  <si>
    <t>CG93-695.1.jpg</t>
  </si>
  <si>
    <t>CG93-697.1.jpg</t>
  </si>
  <si>
    <t>Megacrystic texture in late- to post-Grenvillian Upper Beaver Brook hornblende quartz monzonite</t>
  </si>
  <si>
    <t>VN93-108</t>
  </si>
  <si>
    <t>VN93-108.1.jpg</t>
  </si>
  <si>
    <t>Hornblende-rich leucocratic segregations in granite</t>
  </si>
  <si>
    <t>VN93-108.2.jpg</t>
  </si>
  <si>
    <t>Concordant vein in strongly foliated granite</t>
  </si>
  <si>
    <t>CG85-481.2.jpg</t>
  </si>
  <si>
    <t>CG85-481.3.jpg</t>
  </si>
  <si>
    <t>Metasedimentary gneiss and granite with garnet</t>
  </si>
  <si>
    <t>VN95-109.2.jpg</t>
  </si>
  <si>
    <t>Garnet-rich band in orthopyroxene-bearing metasedimentary gneiss</t>
  </si>
  <si>
    <t>VN95-110</t>
  </si>
  <si>
    <t>VN95-110.1.jpg</t>
  </si>
  <si>
    <t>Monzonite intruded by fine-grained Mealy dyke</t>
  </si>
  <si>
    <t>VN95-110.2.jpg</t>
  </si>
  <si>
    <t>GF81-082</t>
  </si>
  <si>
    <t>GF81-082.jpg</t>
  </si>
  <si>
    <t>Earl Island quartz diorite intruded by mafic dyke then two generations of pegmatite</t>
  </si>
  <si>
    <t>GF81-105</t>
  </si>
  <si>
    <t>GF81-105.3.jpg</t>
  </si>
  <si>
    <t>Net-veined diabase dyke with reaction rims between amphibolite and leucosome</t>
  </si>
  <si>
    <t>GF81-105.2.jpg</t>
  </si>
  <si>
    <t>GF81-106</t>
  </si>
  <si>
    <t>GF81-106.1.jpg</t>
  </si>
  <si>
    <t>GF81-106.2.jpg</t>
  </si>
  <si>
    <t>GF81-145</t>
  </si>
  <si>
    <t>GF81-145.jpg</t>
  </si>
  <si>
    <t>Anhydrous cordierite-bearing metasedimentary gneiss</t>
  </si>
  <si>
    <t>GF81-151</t>
  </si>
  <si>
    <t>GF81-151.jpg</t>
  </si>
  <si>
    <t>GF81-162</t>
  </si>
  <si>
    <t>GF81-162.jpg</t>
  </si>
  <si>
    <t>GF81-164</t>
  </si>
  <si>
    <t>GF81-164.jpg</t>
  </si>
  <si>
    <t>Mealy dyke and thin veinlet</t>
  </si>
  <si>
    <t>GM85-516.7.jpg</t>
  </si>
  <si>
    <t>CG95-150</t>
  </si>
  <si>
    <t>CG95-150.1.jpg</t>
  </si>
  <si>
    <t>CG95-152</t>
  </si>
  <si>
    <t>CG95-152.1.jpg</t>
  </si>
  <si>
    <t>Coarse-grained monzonite</t>
  </si>
  <si>
    <t>CG95-152.2.jpg</t>
  </si>
  <si>
    <t>CG95-153</t>
  </si>
  <si>
    <t>CG95-153.2.jpg</t>
  </si>
  <si>
    <t>Layering defined by magnetite in monzonite</t>
  </si>
  <si>
    <t>CG95-153.1.jpg</t>
  </si>
  <si>
    <t>CG95-154</t>
  </si>
  <si>
    <t>CG95-154.1.jpg</t>
  </si>
  <si>
    <t>CG95-159</t>
  </si>
  <si>
    <t>CG95-159.3.jpg</t>
  </si>
  <si>
    <t>Enclave in granite marginal to Mealy Mountains Intrusive Suite</t>
  </si>
  <si>
    <t>CG95-159.4.jpg</t>
  </si>
  <si>
    <t>CG95-159.2.jpg</t>
  </si>
  <si>
    <t>Granite marginal to Mealy Mountains Intrusive Suite</t>
  </si>
  <si>
    <t>CG79-003</t>
  </si>
  <si>
    <t>CG79-003.2.jpg</t>
  </si>
  <si>
    <t>Pea family 1</t>
  </si>
  <si>
    <t>CG79-003.1.jpg</t>
  </si>
  <si>
    <t>CG79-005</t>
  </si>
  <si>
    <t>CG79-005.1.jpg</t>
  </si>
  <si>
    <t>Poikilitic (biotite) ultramafic rock</t>
  </si>
  <si>
    <t>VN92-308.1E.jpg</t>
  </si>
  <si>
    <t>VN93-010</t>
  </si>
  <si>
    <t>VN93-010.jpg</t>
  </si>
  <si>
    <t>Gneissosity in psammitic gneiss</t>
  </si>
  <si>
    <t>VN93-011</t>
  </si>
  <si>
    <t>VN93-011.1.jpg</t>
  </si>
  <si>
    <t>VN93-011.2.jpg</t>
  </si>
  <si>
    <t>Boudinaged vein in psammitic gneiss</t>
  </si>
  <si>
    <t>CG81-298.2.jpg</t>
  </si>
  <si>
    <t>Iceberg at Cape North 2</t>
  </si>
  <si>
    <t>CG95-011</t>
  </si>
  <si>
    <t>CG95-011.jpg</t>
  </si>
  <si>
    <t>CG95-015</t>
  </si>
  <si>
    <t>CG95-015.jpg</t>
  </si>
  <si>
    <t>Well-banded garnet-rich gneiss of probable metasedimentary origin</t>
  </si>
  <si>
    <t>CG87-488.03.jpg</t>
  </si>
  <si>
    <t>VN93-021</t>
  </si>
  <si>
    <t>VN93-021.1.jpg</t>
  </si>
  <si>
    <t>Metagabbro texture</t>
  </si>
  <si>
    <t>VN93-021.2.jpg</t>
  </si>
  <si>
    <t>VN93-028</t>
  </si>
  <si>
    <t>VN93-028.2.jpg</t>
  </si>
  <si>
    <t>Fractures in hornblende biotite granite</t>
  </si>
  <si>
    <t>VN93-028.1.jpg</t>
  </si>
  <si>
    <t>Texture of hornblende biotite granodiorite</t>
  </si>
  <si>
    <t>VN93-029</t>
  </si>
  <si>
    <t>VN93-029.jpg</t>
  </si>
  <si>
    <t>Slickensides in biotite granite</t>
  </si>
  <si>
    <t>VN93-031</t>
  </si>
  <si>
    <t>VN93-031.jpg</t>
  </si>
  <si>
    <t>Layering in Red Bay gabbronorite</t>
  </si>
  <si>
    <t>NN80-059.3.jpg</t>
  </si>
  <si>
    <t>Garnet-rich amphibolite intruded by extremely garnet-rich amphibolite</t>
  </si>
  <si>
    <t>NN80-062</t>
  </si>
  <si>
    <t>NN80-062.1.jpg</t>
  </si>
  <si>
    <t>NN80-062.2.jpg</t>
  </si>
  <si>
    <t>DD91-004.2.jpg</t>
  </si>
  <si>
    <t>DD91-004.3.jpg</t>
  </si>
  <si>
    <t>DD91-004.4.jpg</t>
  </si>
  <si>
    <t>DD91-004.5.jpg</t>
  </si>
  <si>
    <t>Garnet in leucogranite segregation in metasedimentary gneiss</t>
  </si>
  <si>
    <t>AD79-174</t>
  </si>
  <si>
    <t>AD79-174.jpg</t>
  </si>
  <si>
    <t>Coarse-grained syenite containing xenoliths of iron-rich hornblende biotite segregations</t>
  </si>
  <si>
    <t>AD79-201</t>
  </si>
  <si>
    <t>AD79-201.jpg</t>
  </si>
  <si>
    <t>Fine-grained amorphous chert(?) in leucogranite</t>
  </si>
  <si>
    <t>AD79-202</t>
  </si>
  <si>
    <t>AD79-202.jpg</t>
  </si>
  <si>
    <t>Xenoliths of syenite in granodiorite to diorite</t>
  </si>
  <si>
    <t>AD79-204</t>
  </si>
  <si>
    <t>AD79-204.jpg</t>
  </si>
  <si>
    <t>Brecciated and boudinaged dyke rock in granodiorite gneiss</t>
  </si>
  <si>
    <t>AD79-210</t>
  </si>
  <si>
    <t>AD79-210.jpg</t>
  </si>
  <si>
    <t>Isoclinal folds in granitic gneiss</t>
  </si>
  <si>
    <t>CG81-114</t>
  </si>
  <si>
    <t>CG81-114.jpg</t>
  </si>
  <si>
    <t>Earl Island monzonite (enclave rich) intruded by mafic dyke</t>
  </si>
  <si>
    <t>CG81-128</t>
  </si>
  <si>
    <t>CG81-128.1.jpg</t>
  </si>
  <si>
    <t>Earl Island diorite/amphibolite, migmatized, intruded by pegmatite then deformed</t>
  </si>
  <si>
    <t>CG81-128.2.jpg</t>
  </si>
  <si>
    <t>Layering in amphibolite</t>
  </si>
  <si>
    <t>CG80-256</t>
  </si>
  <si>
    <t>CG80-256.jpg</t>
  </si>
  <si>
    <t>Mafic dykes intruding granodiorite to granite</t>
  </si>
  <si>
    <t>CG80-258</t>
  </si>
  <si>
    <t>CG80-258.jpg</t>
  </si>
  <si>
    <t>Well-banded tonalite to granodiorite gneiss</t>
  </si>
  <si>
    <t>CG04-141.2.jpg</t>
  </si>
  <si>
    <t>CG04-141.3.jpg</t>
  </si>
  <si>
    <t>CG04-142</t>
  </si>
  <si>
    <t>CG04-142.1.jpg</t>
  </si>
  <si>
    <t>Great horned owl</t>
  </si>
  <si>
    <t>CG04-142.2.jpg</t>
  </si>
  <si>
    <t>CG04-142.3.jpg</t>
  </si>
  <si>
    <t>CG04-143</t>
  </si>
  <si>
    <t>CG04-143.1.jpg</t>
  </si>
  <si>
    <t>CG04-143.2.jpg</t>
  </si>
  <si>
    <t>CG04-144</t>
  </si>
  <si>
    <t>CG04-144.jpg</t>
  </si>
  <si>
    <t>Augen-textured mylonite</t>
  </si>
  <si>
    <t>CG04-146</t>
  </si>
  <si>
    <t>CG04-146.jpg</t>
  </si>
  <si>
    <t>GM85-583.1.jpg</t>
  </si>
  <si>
    <t>CG00-147.4.jpg</t>
  </si>
  <si>
    <t>CG00-154</t>
  </si>
  <si>
    <t>CG00-154.06.jpg</t>
  </si>
  <si>
    <t>Gneiss enclave in  K-feldspar megacrystic granitoid unit</t>
  </si>
  <si>
    <t>CG04-157.1.jpg</t>
  </si>
  <si>
    <t>Sign about construction of Phase III of the Trans-Labrador Highway</t>
  </si>
  <si>
    <t>CG93-014.3.jpg</t>
  </si>
  <si>
    <t>Gneiss of probable metasedimentary protolith</t>
  </si>
  <si>
    <t>VN91-263</t>
  </si>
  <si>
    <t>VN91-263.1.jpg</t>
  </si>
  <si>
    <t>Pegmatite veins in granodiorite gneiss; note amphibolite seam</t>
  </si>
  <si>
    <t>VN91-263.2.jpg</t>
  </si>
  <si>
    <t>Dextral (?) rotation of porphyroclast in granodioritic gneiss</t>
  </si>
  <si>
    <t>VN91-264.18.jpg</t>
  </si>
  <si>
    <t>Garnet mantled by plagioclase and quartz in metasedimentary gneiss</t>
  </si>
  <si>
    <t>VN91-264.19.jpg</t>
  </si>
  <si>
    <t>Dioritic dyke discordantly intruding metasedimentary gneiss; geochron site</t>
  </si>
  <si>
    <t>VN91-264.07.jpg</t>
  </si>
  <si>
    <t>CG04-063</t>
  </si>
  <si>
    <t>CG04-063.jpg</t>
  </si>
  <si>
    <t>Granodiorite gneiss with shallow west-plunging lineations</t>
  </si>
  <si>
    <t>CG04-149.2.jpg</t>
  </si>
  <si>
    <t>CG97-068.2.jpg</t>
  </si>
  <si>
    <t>Inflating zodiac at start of river traverse; John Hinchey</t>
  </si>
  <si>
    <t>CG97-071</t>
  </si>
  <si>
    <t>CG97-071.jpg</t>
  </si>
  <si>
    <t>Eagle River 2</t>
  </si>
  <si>
    <t>CG97-090.1.jpg</t>
  </si>
  <si>
    <t>MN86-184</t>
  </si>
  <si>
    <t>MN86-184.jpg</t>
  </si>
  <si>
    <t>MN86-187</t>
  </si>
  <si>
    <t>MN86-187.jpg</t>
  </si>
  <si>
    <t>Migmatitic texture in sillimanite-garnet metasedimentary gneiss</t>
  </si>
  <si>
    <t>MN86-190</t>
  </si>
  <si>
    <t>MN86-190.1.jpg</t>
  </si>
  <si>
    <t>MN86-190.2.jpg</t>
  </si>
  <si>
    <t>CG80-203</t>
  </si>
  <si>
    <t>CG80-203.1.jpg</t>
  </si>
  <si>
    <t>VN95-111.3.jpg</t>
  </si>
  <si>
    <t>Quartz-rich bands in metasedimentary gneiss enclave</t>
  </si>
  <si>
    <t>CG99-104</t>
  </si>
  <si>
    <t>CG99-104.jpg</t>
  </si>
  <si>
    <t>CG04-060.2.jpg</t>
  </si>
  <si>
    <t>CG04-060.3.jpg</t>
  </si>
  <si>
    <t>Road just east of Charlottetown turnoff</t>
  </si>
  <si>
    <t>CG04-062</t>
  </si>
  <si>
    <t>CG04-062.jpg</t>
  </si>
  <si>
    <t>Granodiorite gneiss with aplitic layers and biotite-rich veneers</t>
  </si>
  <si>
    <t>CG84-436.09.jpg</t>
  </si>
  <si>
    <t>CG84-437.3.jpg</t>
  </si>
  <si>
    <t>Amphibolite boudin in Earl Island quartz diorite</t>
  </si>
  <si>
    <t>CG85-132</t>
  </si>
  <si>
    <t>CG85-132.1.jpg</t>
  </si>
  <si>
    <t>Garnet-bearing metasedimentary gneiss intruded by microgranite</t>
  </si>
  <si>
    <t>CG80-203.2.jpg</t>
  </si>
  <si>
    <t>Leucosome segregations in hornblende quartz diorite</t>
  </si>
  <si>
    <t>CG80-204</t>
  </si>
  <si>
    <t>CG80-204.1.jpg</t>
  </si>
  <si>
    <t>Hornblende quartz diorite, pegmatite and mafic dyke</t>
  </si>
  <si>
    <t>CG80-204.2.jpg</t>
  </si>
  <si>
    <t>Mafic dyke within hornblende quartz diorite intruded by microgranite showing high strain</t>
  </si>
  <si>
    <t>CG80-204.3.jpg</t>
  </si>
  <si>
    <t>CG04-106.12.jpg</t>
  </si>
  <si>
    <t>CG04-106.13.jpg</t>
  </si>
  <si>
    <t>Top margin of amphibolite adjacent to shear zone</t>
  </si>
  <si>
    <t>CG04-109</t>
  </si>
  <si>
    <t>CG04-109.jpg</t>
  </si>
  <si>
    <t>Migmatized amphibolite</t>
  </si>
  <si>
    <t>CG97-066.5.jpg</t>
  </si>
  <si>
    <t>Helicopter on edge of river below waterfall</t>
  </si>
  <si>
    <t>CG79-375</t>
  </si>
  <si>
    <t>CG79-375.5.jpg</t>
  </si>
  <si>
    <t>DD91-047.1.jpg</t>
  </si>
  <si>
    <t>CG93-034.1.jpg</t>
  </si>
  <si>
    <t>Amphibolite intruding granite</t>
  </si>
  <si>
    <t>GM85-582.3.jpg</t>
  </si>
  <si>
    <t>GM85-583.4.jpg</t>
  </si>
  <si>
    <t>GM85-583.5.jpg</t>
  </si>
  <si>
    <t>GF81-329</t>
  </si>
  <si>
    <t>GF81-329.2.jpg</t>
  </si>
  <si>
    <t>Mafic dyke agmatitically injected into granodiorite; Fault breccia</t>
  </si>
  <si>
    <t>JA92-126</t>
  </si>
  <si>
    <t>JA92-126.1.jpg</t>
  </si>
  <si>
    <t>Enclaves in syenite/monzonite</t>
  </si>
  <si>
    <t>CG93-016</t>
  </si>
  <si>
    <t>CG93-016.jpg</t>
  </si>
  <si>
    <t>VN91-416.3.jpg</t>
  </si>
  <si>
    <t>VN91-423.1.jpg</t>
  </si>
  <si>
    <t>Gabbro intrusion in syenite</t>
  </si>
  <si>
    <t>VN87-328.3.jpg</t>
  </si>
  <si>
    <t>Pegmatite intruding foliated granodiorite and amphibolite boudin</t>
  </si>
  <si>
    <t>VN87-330</t>
  </si>
  <si>
    <t>VN87-330.1.jpg</t>
  </si>
  <si>
    <t>VN87-330.2.jpg</t>
  </si>
  <si>
    <t>Strongly banded quartz plagioclase hornblende rock of possible supracrustal origin</t>
  </si>
  <si>
    <t>VN87-332</t>
  </si>
  <si>
    <t>VN87-332.jpg</t>
  </si>
  <si>
    <t>Hornblende biotite plagioclase amphibolitic schist</t>
  </si>
  <si>
    <t>VN87-333</t>
  </si>
  <si>
    <t>VN87-333.2.jpg</t>
  </si>
  <si>
    <t>Recrystallized plagioclase phenocrysts in mafic-mineral rich amphibolite</t>
  </si>
  <si>
    <t>VN87-333.1.jpg</t>
  </si>
  <si>
    <t>VN87-019</t>
  </si>
  <si>
    <t>VN87-019.jpg</t>
  </si>
  <si>
    <t>Amphibole lineation developed in dioritic gneiss</t>
  </si>
  <si>
    <t>VN87-025</t>
  </si>
  <si>
    <t>VN87-025.jpg</t>
  </si>
  <si>
    <t>Fine-grained mylonitic granodioritic gneiss</t>
  </si>
  <si>
    <t>VN87-029</t>
  </si>
  <si>
    <t>VN87-029.jpg</t>
  </si>
  <si>
    <t>Fine-grained granite vein intruding megacrystic granite</t>
  </si>
  <si>
    <t>NN80-252</t>
  </si>
  <si>
    <t>NN80-252.2.jpg</t>
  </si>
  <si>
    <t>Amphibolite dyke withy plagioclase-phyric and non-phyric zones</t>
  </si>
  <si>
    <t>LC85-002.2.jpg</t>
  </si>
  <si>
    <t>VN95-015.2.jpg</t>
  </si>
  <si>
    <t>Partially chloritized garnet in leucosome of garnet-sillimanite-muscovite metasedimentary gneiss</t>
  </si>
  <si>
    <t>CG85-309.7.jpg</t>
  </si>
  <si>
    <t>VN84-458</t>
  </si>
  <si>
    <t>VN84-458.jpg</t>
  </si>
  <si>
    <t>Sinistral displacement along pegmatite intruding biotite granodiorite gneiss</t>
  </si>
  <si>
    <t>VN84-473</t>
  </si>
  <si>
    <t>VN84-473.jpg</t>
  </si>
  <si>
    <t>Folded and transposed metasedimentary gneiss</t>
  </si>
  <si>
    <t>VN84-474</t>
  </si>
  <si>
    <t>VN84-474.jpg</t>
  </si>
  <si>
    <t>Garnetiferous diatexite</t>
  </si>
  <si>
    <t>VN84-505.2.jpg</t>
  </si>
  <si>
    <t>RG80-029</t>
  </si>
  <si>
    <t>RG80-029.1.jpg</t>
  </si>
  <si>
    <t>RG80-029.2.jpg</t>
  </si>
  <si>
    <t>Hornblende garnet rock derived from metagabbro</t>
  </si>
  <si>
    <t>CG81-234</t>
  </si>
  <si>
    <t>CG81-234.jpg</t>
  </si>
  <si>
    <t>Net-veined mafic dyke in quartz diorite</t>
  </si>
  <si>
    <t>CG93-732</t>
  </si>
  <si>
    <t>CG93-732.2.jpg</t>
  </si>
  <si>
    <t>Rusty (gossanous) weathering quartzite</t>
  </si>
  <si>
    <t>CG93-732.1.jpg</t>
  </si>
  <si>
    <t>Banded fine-grained rocks of possible supracrustal origin</t>
  </si>
  <si>
    <t>CG93-735</t>
  </si>
  <si>
    <t>CG93-735.jpg</t>
  </si>
  <si>
    <t>Garnet in amphibolite</t>
  </si>
  <si>
    <t>CG95-095</t>
  </si>
  <si>
    <t>CG95-095.1.jpg</t>
  </si>
  <si>
    <t>Biotite-sillimanite-garnet gneiss intruded by 3-cm-wide mafic dyke</t>
  </si>
  <si>
    <t>CG95-095.5.jpg</t>
  </si>
  <si>
    <t>Pegmatite intruding gneiss</t>
  </si>
  <si>
    <t>VN93-012</t>
  </si>
  <si>
    <t>VN93-012.jpg</t>
  </si>
  <si>
    <t>Hornblende-rich zone in hornblende biotite granite</t>
  </si>
  <si>
    <t>VN93-014</t>
  </si>
  <si>
    <t>VN93-014.jpg</t>
  </si>
  <si>
    <t>VN93-015</t>
  </si>
  <si>
    <t>VN93-015.1.jpg</t>
  </si>
  <si>
    <t>Pegmatite vein intruding quartz diorite</t>
  </si>
  <si>
    <t>VN93-015.2.jpg</t>
  </si>
  <si>
    <t>VN93-017</t>
  </si>
  <si>
    <t>VN93-017.2.jpg</t>
  </si>
  <si>
    <t>Leucoamphibolite/metagabbro</t>
  </si>
  <si>
    <t>VN93-017.1.jpg</t>
  </si>
  <si>
    <t>LC85-009</t>
  </si>
  <si>
    <t>LC85-009.1.jpg</t>
  </si>
  <si>
    <t>Biotite sillimanite metasedimentary gneiss with calc-silicate pod</t>
  </si>
  <si>
    <t>LC85-015</t>
  </si>
  <si>
    <t>LC85-015.jpg</t>
  </si>
  <si>
    <t>Biotite hornblende quartz diorite with enclaves of fine-grained diorite</t>
  </si>
  <si>
    <t>CG04-258.4.jpg</t>
  </si>
  <si>
    <t>Cut-over area 1</t>
  </si>
  <si>
    <t>CG04-258.5.jpg</t>
  </si>
  <si>
    <t>Cut-over area 2</t>
  </si>
  <si>
    <t>JS86-339.2.jpg</t>
  </si>
  <si>
    <t>SN86-017</t>
  </si>
  <si>
    <t>SN86-017.jpg</t>
  </si>
  <si>
    <t>SN86-018.1.jpg</t>
  </si>
  <si>
    <t>Migmatized metagabbro</t>
  </si>
  <si>
    <t>RG80-005.3.jpg</t>
  </si>
  <si>
    <t>Amphibolitic gneiss with straight banding</t>
  </si>
  <si>
    <t>RG80-007</t>
  </si>
  <si>
    <t>RG80-007.3.jpg</t>
  </si>
  <si>
    <t>Isoclinal folding in amphibolitic gneiss; amphibolite also present</t>
  </si>
  <si>
    <t>RG80-007.2.jpg</t>
  </si>
  <si>
    <t>Amphibolitic gneiss with intrafolial isoclinal fold and migmatization</t>
  </si>
  <si>
    <t>RG80-007.1.jpg</t>
  </si>
  <si>
    <t>Amphibolitic gneiss with agmatitic banding</t>
  </si>
  <si>
    <t>RG80-008</t>
  </si>
  <si>
    <t>RG80-008.2.jpg</t>
  </si>
  <si>
    <t>Meta-quartzite and some associated gossanous material</t>
  </si>
  <si>
    <t>RG80-008.1.jpg</t>
  </si>
  <si>
    <t>Refolded folds in quartzofeldspathic gneiss</t>
  </si>
  <si>
    <t>VN84-255</t>
  </si>
  <si>
    <t>VN84-255.jpg</t>
  </si>
  <si>
    <t>Strongly deformed / mylonitic Paradise Arm K-feldspar megacrystic monzogranite/granodiorite</t>
  </si>
  <si>
    <t>VN84-268.1.jpg</t>
  </si>
  <si>
    <t>VN84-268.2.jpg</t>
  </si>
  <si>
    <t>Well-banded metasedimentary gneiss (sinistral shear - CFG)</t>
  </si>
  <si>
    <t>VN84-268.3.jpg</t>
  </si>
  <si>
    <t>Folding in well-banded metasedimentary gneiss</t>
  </si>
  <si>
    <t>CG79-759.2.jpg</t>
  </si>
  <si>
    <t>CG98-026</t>
  </si>
  <si>
    <t>CG98-026.jpg</t>
  </si>
  <si>
    <t>Monzonite with amphibolite enclaves</t>
  </si>
  <si>
    <t>AL78-138</t>
  </si>
  <si>
    <t>AL78-138.2.jpg</t>
  </si>
  <si>
    <t>Acicular hornblende in Adlavik gabbro/diorite</t>
  </si>
  <si>
    <t>AL78-140</t>
  </si>
  <si>
    <t>AL78-140.jpg</t>
  </si>
  <si>
    <t>Small Bay west of Stag Bay and south of Seal Point</t>
  </si>
  <si>
    <t>AL78-141</t>
  </si>
  <si>
    <t>AL78-141.jpg</t>
  </si>
  <si>
    <t>Well bedded mafic to intermediate volcanic rocks of Aillik Group</t>
  </si>
  <si>
    <t>VN93-091</t>
  </si>
  <si>
    <t>VN93-091.2.jpg</t>
  </si>
  <si>
    <t>Quartz diorite to diorite gneiss</t>
  </si>
  <si>
    <t>VN93-093.3.jpg</t>
  </si>
  <si>
    <t>VN93-093.4.jpg</t>
  </si>
  <si>
    <t>VN91-265</t>
  </si>
  <si>
    <t>VN91-265.5.jpg</t>
  </si>
  <si>
    <t>Amphibolite pod in metasedimentary gneiss, discordantly intruded by K-feldspar megacrystic granodiorite</t>
  </si>
  <si>
    <t>VO81-017</t>
  </si>
  <si>
    <t>VO81-017.jpg</t>
  </si>
  <si>
    <t>Molybdenite in aplite (looks like Fe oxide to me - CFG)</t>
  </si>
  <si>
    <t>SN86-032</t>
  </si>
  <si>
    <t>SN86-032.jpg</t>
  </si>
  <si>
    <t>Contact between amphibolitic to dioritic gneiss and granite</t>
  </si>
  <si>
    <t>SN86-059</t>
  </si>
  <si>
    <t>SN86-059.jpg</t>
  </si>
  <si>
    <t>Deformed meta-anorthosite/leucogabbro</t>
  </si>
  <si>
    <t>VN91-037</t>
  </si>
  <si>
    <t>VN91-036.2.jpg</t>
  </si>
  <si>
    <t>VN91-037.1.jpg</t>
  </si>
  <si>
    <t>VN91-037.2.jpg</t>
  </si>
  <si>
    <t>VO81-123.3.jpg</t>
  </si>
  <si>
    <t>CG87-469.09.jpg</t>
  </si>
  <si>
    <t>TvN at Wolf Cove</t>
  </si>
  <si>
    <t>CG87-469.05.jpg</t>
  </si>
  <si>
    <t>Granite and amphibolite. geochron. sample site</t>
  </si>
  <si>
    <t>CG87-469.01.jpg</t>
  </si>
  <si>
    <t>VN91-261.2.jpg</t>
  </si>
  <si>
    <t>Hornblende crystals in discordant pegmatite vein</t>
  </si>
  <si>
    <t>VN91-262</t>
  </si>
  <si>
    <t>VN91-262.jpg</t>
  </si>
  <si>
    <t>Concordant veins in biotite hornblende granodiorite gneiss</t>
  </si>
  <si>
    <t>MN86-216.1.jpg</t>
  </si>
  <si>
    <t>MN86-216.3.jpg</t>
  </si>
  <si>
    <t>Attenuated mafic dykes in deformed K-feldspar megacrystic granodiorite</t>
  </si>
  <si>
    <t>MN86-234</t>
  </si>
  <si>
    <t>MN86-234.jpg</t>
  </si>
  <si>
    <t>Garnet orthopyroxene felsic granulite</t>
  </si>
  <si>
    <t>MN86-238</t>
  </si>
  <si>
    <t>MN86-238.jpg</t>
  </si>
  <si>
    <t>Hornblende garnet mafic aggregates in metamorphosed Alexis River metagabbro</t>
  </si>
  <si>
    <t>MN86-240</t>
  </si>
  <si>
    <t>MN86-240.jpg</t>
  </si>
  <si>
    <t>Coronas in Alexis River metagabbro</t>
  </si>
  <si>
    <t>MN86-249</t>
  </si>
  <si>
    <t>MN86-249.jpg</t>
  </si>
  <si>
    <t>SN86-219</t>
  </si>
  <si>
    <t>SN86-219.jpg</t>
  </si>
  <si>
    <t>Granite in deformed K-feldspar megacrystic granite</t>
  </si>
  <si>
    <t>CG97-183</t>
  </si>
  <si>
    <t>CG97-183.jpg</t>
  </si>
  <si>
    <t>Late- to post-Grenvillian granite (too dark to see anything)</t>
  </si>
  <si>
    <t>CG97-187</t>
  </si>
  <si>
    <t>CG97-187.1.jpg</t>
  </si>
  <si>
    <t>Upper Eagle River wetlands 2</t>
  </si>
  <si>
    <t>CG97-190</t>
  </si>
  <si>
    <t>CG97-190.jpg</t>
  </si>
  <si>
    <t>Medium-grained to pegmatitic granitic gneiss</t>
  </si>
  <si>
    <t>CG97-191</t>
  </si>
  <si>
    <t>CG97-191.jpg</t>
  </si>
  <si>
    <t>Upper Eagle River wetlands 4 (location approximate, but probably close)</t>
  </si>
  <si>
    <t>HP92-001</t>
  </si>
  <si>
    <t>HP92-001.1.jpg</t>
  </si>
  <si>
    <t>HP92-001.2.jpg</t>
  </si>
  <si>
    <t>VN91-001.2.jpg</t>
  </si>
  <si>
    <t>Transition from strongly foliated to gneissic K-feldspar megacrystic granite</t>
  </si>
  <si>
    <t>VN91-002</t>
  </si>
  <si>
    <t>VN91-002.1.jpg</t>
  </si>
  <si>
    <t>Z-fold in dioritic orthogneiss</t>
  </si>
  <si>
    <t>VN91-002.2.jpg</t>
  </si>
  <si>
    <t>VN91-002.3.jpg</t>
  </si>
  <si>
    <t>Mafic mineral-rich (chlorite + clinopyroxene?) enclave in dioritic orthogneiss</t>
  </si>
  <si>
    <t>VN91-002.4.jpg</t>
  </si>
  <si>
    <t>VN91-005.5.jpg</t>
  </si>
  <si>
    <t>Garnet lineation on foliation surface of anhydrous metasedimentary gneiss</t>
  </si>
  <si>
    <t>RG80-065.3.jpg</t>
  </si>
  <si>
    <t>Recumbent folding related to thrusting</t>
  </si>
  <si>
    <t>AD79-145.3.jpg</t>
  </si>
  <si>
    <t>AD79-152</t>
  </si>
  <si>
    <t>AD79-152.jpg</t>
  </si>
  <si>
    <t>Veined and chloritized mafic volcanic rocks of Aillik Group</t>
  </si>
  <si>
    <t>AD79-156</t>
  </si>
  <si>
    <t>AD79-156.jpg</t>
  </si>
  <si>
    <t>Unfoliated quartz monzonite</t>
  </si>
  <si>
    <t>AD79-160</t>
  </si>
  <si>
    <t>AD79-160.jpg</t>
  </si>
  <si>
    <t>Medium-grained granite with numerous small banded xenoliths</t>
  </si>
  <si>
    <t>VN87-081</t>
  </si>
  <si>
    <t>VN87-081.jpg</t>
  </si>
  <si>
    <t>Intergranular texture hornblende plagioclase (orthopyroxene) metagabbro</t>
  </si>
  <si>
    <t>VN87-093</t>
  </si>
  <si>
    <t>VN87-093.jpg</t>
  </si>
  <si>
    <t>VN87-111.1.jpg</t>
  </si>
  <si>
    <t>Two pegmatite generations intruding quartz diorite</t>
  </si>
  <si>
    <t>CG79-220</t>
  </si>
  <si>
    <t>CG79-220.jpg</t>
  </si>
  <si>
    <t>Coastline near False Cape 1</t>
  </si>
  <si>
    <t>SN86-199</t>
  </si>
  <si>
    <t>SN86-199.2.jpg</t>
  </si>
  <si>
    <t>Tightly folded granite (or metasedimentary gneiss? - CFG)</t>
  </si>
  <si>
    <t>SN86-199.1.jpg</t>
  </si>
  <si>
    <t>Pegmatite-cored microgranite intruding gneiss</t>
  </si>
  <si>
    <t>SN86-214</t>
  </si>
  <si>
    <t>SN86-214.1.jpg</t>
  </si>
  <si>
    <t>Garnet-quartz symplectite with K-feldspar-rich envelop in K-feldspar megacrystic granite</t>
  </si>
  <si>
    <t>SN86-214.3.jpg</t>
  </si>
  <si>
    <t>Dextrally rotated garnet-quartz symplectite in granitic/mylonitic gneiss</t>
  </si>
  <si>
    <t>SN86-214.4.jpg</t>
  </si>
  <si>
    <t>CG86-327</t>
  </si>
  <si>
    <t>CG86-327.1.jpg</t>
  </si>
  <si>
    <t>CG86-327.2.jpg</t>
  </si>
  <si>
    <t>JS87-207</t>
  </si>
  <si>
    <t>JS87-207.jpg</t>
  </si>
  <si>
    <t>Foliated granite with amphibolite intruded by microgranite dyke</t>
  </si>
  <si>
    <t>VN91-144</t>
  </si>
  <si>
    <t>VN91-144.2.jpg</t>
  </si>
  <si>
    <t>Foliated hornblende-rich metagabbro</t>
  </si>
  <si>
    <t>VN91-144.1.jpg</t>
  </si>
  <si>
    <t>Strongly foliated hornblende-rich diorite</t>
  </si>
  <si>
    <t>VN91-146</t>
  </si>
  <si>
    <t>VN91-146.5.jpg</t>
  </si>
  <si>
    <t>VN91-146.2.jpg</t>
  </si>
  <si>
    <t>Igneous layering(?) in diorite/metagabbro</t>
  </si>
  <si>
    <t>VN91-146.1.jpg</t>
  </si>
  <si>
    <t>Foliated diorite/gabbro</t>
  </si>
  <si>
    <t>VN91-146.4.jpg</t>
  </si>
  <si>
    <t>Pegmatite segregation in metagabbro (relict clinopyroxene altering to hornblende)</t>
  </si>
  <si>
    <t>VN91-146.3.jpg</t>
  </si>
  <si>
    <t>Layering (igneous) in metagabbro</t>
  </si>
  <si>
    <t>VN91-148.1.jpg</t>
  </si>
  <si>
    <t>AL78-136</t>
  </si>
  <si>
    <t>AL78-136.1.jpg</t>
  </si>
  <si>
    <t>Adlavik gabbro xenoliths in Benedict-type granite</t>
  </si>
  <si>
    <t>NN80-156.2.jpg</t>
  </si>
  <si>
    <t>LC85-026</t>
  </si>
  <si>
    <t>LC85-026.jpg</t>
  </si>
  <si>
    <t>Amphibolite boudin in biotite muscovite metasedimentary gneiss</t>
  </si>
  <si>
    <t>LG80-002</t>
  </si>
  <si>
    <t>LG80-002.jpg</t>
  </si>
  <si>
    <t>Granitic gneiss with amphibolite enclaves</t>
  </si>
  <si>
    <t>LG80-007</t>
  </si>
  <si>
    <t>LG80-007.jpg</t>
  </si>
  <si>
    <t>Granodioritic gneiss with garnet</t>
  </si>
  <si>
    <t>MC77-009</t>
  </si>
  <si>
    <t>MC77-009.1.jpg</t>
  </si>
  <si>
    <t>Diabase boudin in gneiss</t>
  </si>
  <si>
    <t>MC77-009.2.jpg</t>
  </si>
  <si>
    <t>Banding in granodioritic gneiss</t>
  </si>
  <si>
    <t>VN93-311.1.jpg</t>
  </si>
  <si>
    <t>MC77-217.1.jpg</t>
  </si>
  <si>
    <t>MC77-222</t>
  </si>
  <si>
    <t>MC77-222.jpg</t>
  </si>
  <si>
    <t>Migmatitic gneiss</t>
  </si>
  <si>
    <t>MC77-232</t>
  </si>
  <si>
    <t>MC77-232.1.jpg</t>
  </si>
  <si>
    <t>Mafic dyke in granitic gneiss showing sinistral displacement</t>
  </si>
  <si>
    <t>CG84-496</t>
  </si>
  <si>
    <t>CG84-496.jpg</t>
  </si>
  <si>
    <t>Porphyroclastic megacrystic granite marginal to Mealy Mountains Intrusive Suite</t>
  </si>
  <si>
    <t>CG85-001</t>
  </si>
  <si>
    <t>CG85-001.2.jpg</t>
  </si>
  <si>
    <t>Spruce grouse 4</t>
  </si>
  <si>
    <t>CG85-001.1.jpg</t>
  </si>
  <si>
    <t>Migmatized diorite</t>
  </si>
  <si>
    <t>CG85-004</t>
  </si>
  <si>
    <t>CG85-004.1.jpg</t>
  </si>
  <si>
    <t>MT and RP collecting paleomag. Samples; looking N to Dikes River</t>
  </si>
  <si>
    <t>CG85-004.2.jpg</t>
  </si>
  <si>
    <t>Mafic dyke intruding migmatized diorite</t>
  </si>
  <si>
    <t>CG85-121</t>
  </si>
  <si>
    <t>CG85-121.3.jpg</t>
  </si>
  <si>
    <t>White Hills with BL2</t>
  </si>
  <si>
    <t>CG85-121.1.jpg</t>
  </si>
  <si>
    <t>White Hills</t>
  </si>
  <si>
    <t>CG85-129</t>
  </si>
  <si>
    <t>CG85-129.2.jpg</t>
  </si>
  <si>
    <t>CG85-129.1.jpg</t>
  </si>
  <si>
    <t>CG85-132.2.jpg</t>
  </si>
  <si>
    <t>Microgranite intruding metasedimentary gneiss</t>
  </si>
  <si>
    <t>CG85-132.3.jpg</t>
  </si>
  <si>
    <t>CG85-469</t>
  </si>
  <si>
    <t>CG85-469.jpg</t>
  </si>
  <si>
    <t>CG80-037.3.jpg</t>
  </si>
  <si>
    <t>Tonalitic/granodioritic gneiss with amphibolitic layers</t>
  </si>
  <si>
    <t>CG80-037.1.jpg</t>
  </si>
  <si>
    <t>Contact between tonalitic /granodioritic gneiss and amphibolite/metagabbro</t>
  </si>
  <si>
    <t>CG93-457</t>
  </si>
  <si>
    <t>CG93-457.jpg</t>
  </si>
  <si>
    <t>Muscovite-rich schists associated with metagreywacke(?)</t>
  </si>
  <si>
    <t>CG93-458</t>
  </si>
  <si>
    <t>CG93-458.jpg</t>
  </si>
  <si>
    <t>Kinematic indicator indicating thrusting to west</t>
  </si>
  <si>
    <t>VN92-070.3.jpg</t>
  </si>
  <si>
    <t>Amphibolite enclaves/dykes  in foliated granite</t>
  </si>
  <si>
    <t>CG81-389.3.jpg</t>
  </si>
  <si>
    <t>Complex folding in Hare Harbour tonalite/granodiorite gneiss</t>
  </si>
  <si>
    <t>CG81-394</t>
  </si>
  <si>
    <t>CG81-394.1.jpg</t>
  </si>
  <si>
    <t>Refolded pegmatite</t>
  </si>
  <si>
    <t>CG81-394.2.jpg</t>
  </si>
  <si>
    <t>CG81-420</t>
  </si>
  <si>
    <t>CG81-420.jpg</t>
  </si>
  <si>
    <t>CG81-421</t>
  </si>
  <si>
    <t>CG81-421.jpg</t>
  </si>
  <si>
    <t>G with porpoise (location uncertain)</t>
  </si>
  <si>
    <t>CG81-428</t>
  </si>
  <si>
    <t>CG81-428.1.jpg</t>
  </si>
  <si>
    <t>Coarse-grained leucogranite</t>
  </si>
  <si>
    <t>CG81-428.2.jpg</t>
  </si>
  <si>
    <t>Coarse-grained leucogranite intruding Hare Harbour gneiss</t>
  </si>
  <si>
    <t>CG81-593.3.jpg</t>
  </si>
  <si>
    <t>VN87-393.2.jpg</t>
  </si>
  <si>
    <t>Diopside-garnet pod in calc-silicate - quartzite sequence</t>
  </si>
  <si>
    <t>VN91-108.4.jpg</t>
  </si>
  <si>
    <t>RG80-104.4.jpg</t>
  </si>
  <si>
    <t>RG80-104.5.jpg</t>
  </si>
  <si>
    <t>Marble containing isoclinally folded amphibolite</t>
  </si>
  <si>
    <t>CG80-054.4.jpg</t>
  </si>
  <si>
    <t>Strongly deformed pegmatite in gabbro</t>
  </si>
  <si>
    <t>XX87-018</t>
  </si>
  <si>
    <t>XX87-018.jpg</t>
  </si>
  <si>
    <t>Mylonitic material and granite intruded by microgranite</t>
  </si>
  <si>
    <t>XX87-028</t>
  </si>
  <si>
    <t>XX87-028.jpg</t>
  </si>
  <si>
    <t>Foliated hornblende biotite granite with hornblende megacrysts</t>
  </si>
  <si>
    <t>XX87-031</t>
  </si>
  <si>
    <t>XX87-031.1.jpg</t>
  </si>
  <si>
    <t>XX87-031.2.jpg</t>
  </si>
  <si>
    <t>Banded amphibolitic-granitic gneiss</t>
  </si>
  <si>
    <t>XX87-034</t>
  </si>
  <si>
    <t>XX87-034.jpg</t>
  </si>
  <si>
    <t>Hornblende diorite-granodiorite gneiss</t>
  </si>
  <si>
    <t>XX87-035</t>
  </si>
  <si>
    <t>XX87-035.jpg</t>
  </si>
  <si>
    <t>Diorite gneiss with K-feldspar megacrysts</t>
  </si>
  <si>
    <t>NN80-170</t>
  </si>
  <si>
    <t>NN80-170.1.jpg</t>
  </si>
  <si>
    <t>Concordant contact between amphibolite and gneiss</t>
  </si>
  <si>
    <t>NN80-170.2.jpg</t>
  </si>
  <si>
    <t>NN80-172</t>
  </si>
  <si>
    <t>NN80-172.jpg</t>
  </si>
  <si>
    <t>Folded interlayered amphibolite and granodioritic gneiss</t>
  </si>
  <si>
    <t>NN80-173</t>
  </si>
  <si>
    <t>NN80-173.jpg</t>
  </si>
  <si>
    <t>Granodioritic and amphibolitic gneiss</t>
  </si>
  <si>
    <t>GM85-536.6.jpg</t>
  </si>
  <si>
    <t>GM85-538.1.jpg</t>
  </si>
  <si>
    <t>CG04-278.7.jpg</t>
  </si>
  <si>
    <t>CG03-190</t>
  </si>
  <si>
    <t>CG03-190.jpg</t>
  </si>
  <si>
    <t>Asymmetric structure, left (north)-side-up</t>
  </si>
  <si>
    <t>MN86-271</t>
  </si>
  <si>
    <t>MN86-271.jpg</t>
  </si>
  <si>
    <t>Garnet in metasedimentary(?) gneiss; unit mapped as K-feldspar megacrystic granodiorite</t>
  </si>
  <si>
    <t>VN91-181</t>
  </si>
  <si>
    <t>VN91-181.jpg</t>
  </si>
  <si>
    <t>Gneissosity in Alexis River anorthosite</t>
  </si>
  <si>
    <t>VN87-128</t>
  </si>
  <si>
    <t>VN87-128.jpg</t>
  </si>
  <si>
    <t>Amphibolite lenses in garnet biotite metasedimentary gneiss</t>
  </si>
  <si>
    <t>VN87-130</t>
  </si>
  <si>
    <t>VN87-130.jpg</t>
  </si>
  <si>
    <t>Strongly foliated K-feldspar megacrystic granite</t>
  </si>
  <si>
    <t>VN87-135</t>
  </si>
  <si>
    <t>VN87-135.1.jpg</t>
  </si>
  <si>
    <t>Amphibolite dyke discordant to gneissosity in biotite sillimanite metasedimentary gneiss</t>
  </si>
  <si>
    <t>GM85-517</t>
  </si>
  <si>
    <t>GM85-517.4.jpg</t>
  </si>
  <si>
    <t>Syenitic/granitic dyke intrudes augen-textured metasedimentary gneiss</t>
  </si>
  <si>
    <t>GM85-517.3.jpg</t>
  </si>
  <si>
    <t>GM85-520</t>
  </si>
  <si>
    <t>GM85-520.1.jpg</t>
  </si>
  <si>
    <t>Black pyritic amphibolite intruded by felsic veins</t>
  </si>
  <si>
    <t>GM85-520.2.jpg</t>
  </si>
  <si>
    <t>GM85-522</t>
  </si>
  <si>
    <t>GM85-522.2.jpg</t>
  </si>
  <si>
    <t>Cataclastic metasedimentary gneiss; BL</t>
  </si>
  <si>
    <t>GM85-522.3.jpg</t>
  </si>
  <si>
    <t>GM85-522.1.jpg</t>
  </si>
  <si>
    <t>CG07-143.5.jpg</t>
  </si>
  <si>
    <t>CG07-143.6.jpg</t>
  </si>
  <si>
    <t>CG07-144</t>
  </si>
  <si>
    <t>CG07-144.1.jpg</t>
  </si>
  <si>
    <t>Fluorite-bearing pegmatite pod</t>
  </si>
  <si>
    <t>CG07-144.2.jpg</t>
  </si>
  <si>
    <t>Actinolite and quartz-feldspar</t>
  </si>
  <si>
    <t>CG81-270</t>
  </si>
  <si>
    <t>CG81-270.jpg</t>
  </si>
  <si>
    <t>Southern Sandwich Bay</t>
  </si>
  <si>
    <t>GM85-633.5.jpg</t>
  </si>
  <si>
    <t>Well-banded dioritic gneiss</t>
  </si>
  <si>
    <t>JS87-097</t>
  </si>
  <si>
    <t>JS87-097.jpg</t>
  </si>
  <si>
    <t>Coarse-grained hornblende granite with folded foliation</t>
  </si>
  <si>
    <t>SN86-405</t>
  </si>
  <si>
    <t>SN86-405.2.jpg</t>
  </si>
  <si>
    <t>Finely banded metasedimentary gneiss</t>
  </si>
  <si>
    <t>SN86-406.1.jpg</t>
  </si>
  <si>
    <t>VN87-319.2.jpg</t>
  </si>
  <si>
    <t>Relict igneous layering in fine- medium-grained amphibolite</t>
  </si>
  <si>
    <t>CG07-023.5.jpg</t>
  </si>
  <si>
    <t>Granodiorite gneiss, downdip sense of movement; gravity fold</t>
  </si>
  <si>
    <t>SN86-225</t>
  </si>
  <si>
    <t>SN86-225.1.jpg</t>
  </si>
  <si>
    <t>Hornblende-rich reaction rims between pegmatite and host mafic/ultramafic rock</t>
  </si>
  <si>
    <t>SN86-229</t>
  </si>
  <si>
    <t>SN86-229.jpg</t>
  </si>
  <si>
    <t>Granitic dyke intruding K-feldspar megacrystic granitic; number on original slide erroneous; corrected digitally</t>
  </si>
  <si>
    <t>SN86-232</t>
  </si>
  <si>
    <t>SN86-232.jpg</t>
  </si>
  <si>
    <t>Biotite granite gneiss intruded by pegmatite</t>
  </si>
  <si>
    <t>SN86-239.3.jpg</t>
  </si>
  <si>
    <t>SN86-239.2.jpg</t>
  </si>
  <si>
    <t>CG00-319</t>
  </si>
  <si>
    <t>CG00-319.5.jpg</t>
  </si>
  <si>
    <t>Granodiorite with concordant pegmatite</t>
  </si>
  <si>
    <t>CG00-319.6.jpg</t>
  </si>
  <si>
    <t>Granodiorite with pegmatite</t>
  </si>
  <si>
    <t>CG84-187</t>
  </si>
  <si>
    <t>CG84-187.2.jpg</t>
  </si>
  <si>
    <t>Crooked Lake from the south</t>
  </si>
  <si>
    <t>NN84-307</t>
  </si>
  <si>
    <t>NN84-307.1.jpg</t>
  </si>
  <si>
    <t>Rotated K-feldspar megacrysts, shear band and C-S fabric. Mylonite</t>
  </si>
  <si>
    <t>NN84-307.2.jpg</t>
  </si>
  <si>
    <t>Granodiorite; geochronology sample site</t>
  </si>
  <si>
    <t>CG86-490</t>
  </si>
  <si>
    <t>CG86-490.5.jpg</t>
  </si>
  <si>
    <t>Gilbert conglomerate (pebbly arkose)</t>
  </si>
  <si>
    <t>CG86-490.3.jpg</t>
  </si>
  <si>
    <t>CG86-490.2.jpg</t>
  </si>
  <si>
    <t>Gilbert River fault</t>
  </si>
  <si>
    <t>VN84-217</t>
  </si>
  <si>
    <t>VN84-217.2.jpg</t>
  </si>
  <si>
    <t>Igneous layering in leucotroctolite</t>
  </si>
  <si>
    <t>VN84-217.1.jpg</t>
  </si>
  <si>
    <t>VN84-222</t>
  </si>
  <si>
    <t>VN84-222.jpg</t>
  </si>
  <si>
    <t>CG92-163.4.jpg</t>
  </si>
  <si>
    <t>MC77-012</t>
  </si>
  <si>
    <t>MC77-012.1.jpg</t>
  </si>
  <si>
    <t>Refolded isoclinal folds in leucosome in granodioritic gneiss</t>
  </si>
  <si>
    <t>CG99-014</t>
  </si>
  <si>
    <t>CG99-014.02.jpg</t>
  </si>
  <si>
    <t>Four Corners' Lake 2</t>
  </si>
  <si>
    <t>CG99-026</t>
  </si>
  <si>
    <t>CG99-026.jpg</t>
  </si>
  <si>
    <t>Late- to post-Grenvillian alkali feldspar syenite</t>
  </si>
  <si>
    <t>VN91-040</t>
  </si>
  <si>
    <t>VN91-040.1.jpg</t>
  </si>
  <si>
    <t>Plagioclase-phyric enclave in K-feldspar megacrystic granite</t>
  </si>
  <si>
    <t>VN91-040.3.jpg</t>
  </si>
  <si>
    <t>Magnetite crystals in pegmatite</t>
  </si>
  <si>
    <t>VN91-040.2.jpg</t>
  </si>
  <si>
    <t>NN84-296</t>
  </si>
  <si>
    <t>NN84-296.3.jpg</t>
  </si>
  <si>
    <t>Amphibolitic bands in garnet-bearing tonalitic/granodioritic gneiss</t>
  </si>
  <si>
    <t>MC77-253</t>
  </si>
  <si>
    <t>MC77-253.2.jpg</t>
  </si>
  <si>
    <t>NN84-326.2.jpg</t>
  </si>
  <si>
    <t>Small shear zone in K-feldspar megacrystic granodiorite</t>
  </si>
  <si>
    <t>NN84-372</t>
  </si>
  <si>
    <t>NN84-372.1.jpg</t>
  </si>
  <si>
    <t>Complexly folded garnet granodioritic gneiss</t>
  </si>
  <si>
    <t>NN84-372.2.jpg</t>
  </si>
  <si>
    <t>Straight gneiss/Mylonite</t>
  </si>
  <si>
    <t>NN84-372.3.jpg</t>
  </si>
  <si>
    <t>NN84-375.3.jpg</t>
  </si>
  <si>
    <t>NN84-375.1.jpg</t>
  </si>
  <si>
    <t>VN84-310</t>
  </si>
  <si>
    <t>VN84-310.jpg</t>
  </si>
  <si>
    <t>CG00-271</t>
  </si>
  <si>
    <t>CG00-271.2.jpg</t>
  </si>
  <si>
    <t>CG00-272</t>
  </si>
  <si>
    <t>CG00-272.1.jpg</t>
  </si>
  <si>
    <t>Metagabbro with layering</t>
  </si>
  <si>
    <t>DD91-110.4.jpg</t>
  </si>
  <si>
    <t>DD91-110.1.jpg</t>
  </si>
  <si>
    <t>Amphibolite dykes in anorthosite</t>
  </si>
  <si>
    <t>DD91-110.6.jpg</t>
  </si>
  <si>
    <t>DD91-110.5.jpg</t>
  </si>
  <si>
    <t>CG81-310</t>
  </si>
  <si>
    <t>CG81-310.1.jpg</t>
  </si>
  <si>
    <t>Puffins on Bird Islands</t>
  </si>
  <si>
    <t>CG81-310.2.jpg</t>
  </si>
  <si>
    <t>Bird Islands</t>
  </si>
  <si>
    <t>CG81-312</t>
  </si>
  <si>
    <t>CG81-312.jpg</t>
  </si>
  <si>
    <t>JS86-460.1.jpg</t>
  </si>
  <si>
    <t>GM85-547.2.jpg</t>
  </si>
  <si>
    <t>GM85-548.3.jpg</t>
  </si>
  <si>
    <t>Biotite granodiorite gneiss intruded by syenite/granite; same locality as CG85-656</t>
  </si>
  <si>
    <t>MC77-247.2.jpg</t>
  </si>
  <si>
    <t>Mafic enclave within mylonite</t>
  </si>
  <si>
    <t>CG92-053</t>
  </si>
  <si>
    <t>CG92-053.1.jpg</t>
  </si>
  <si>
    <t>Upper St. Lewis River (west) granite intruded by microgranite</t>
  </si>
  <si>
    <t>MC77-232.3.jpg</t>
  </si>
  <si>
    <t>Shear zone in porphyroclastic granitic gneiss</t>
  </si>
  <si>
    <t>MC77-232.2.jpg</t>
  </si>
  <si>
    <t>MC77-235</t>
  </si>
  <si>
    <t>MC77-235.2.jpg</t>
  </si>
  <si>
    <t>Amphibolite in metasedimentary gneiss</t>
  </si>
  <si>
    <t>MC77-235.1.jpg</t>
  </si>
  <si>
    <t>CG83-345.6.jpg</t>
  </si>
  <si>
    <t>VN91-134.1.jpg</t>
  </si>
  <si>
    <t>VN91-135</t>
  </si>
  <si>
    <t>VN91-135.1.jpg</t>
  </si>
  <si>
    <t>Lineation in biotite granodiorite</t>
  </si>
  <si>
    <t>VN91-135.2.jpg</t>
  </si>
  <si>
    <t>SN86-091</t>
  </si>
  <si>
    <t>SN86-091.jpg</t>
  </si>
  <si>
    <t>Pilot fishing on Hawke River (location inexact)</t>
  </si>
  <si>
    <t>VN91-180.3.jpg</t>
  </si>
  <si>
    <t>MN86-051</t>
  </si>
  <si>
    <t>MN86-051.4.jpg</t>
  </si>
  <si>
    <t>Mafic dyke in granite that is possibly related to white Bear Arm complex</t>
  </si>
  <si>
    <t>MN86-051.3.jpg</t>
  </si>
  <si>
    <t>MN86-051.2.jpg</t>
  </si>
  <si>
    <t>VN85-633</t>
  </si>
  <si>
    <t>VN85-633.jpg</t>
  </si>
  <si>
    <t>CG84-327</t>
  </si>
  <si>
    <t>CG84-327.jpg</t>
  </si>
  <si>
    <t>K-feldspar megacrystic granodiorite; mylonitic</t>
  </si>
  <si>
    <t>CG84-328</t>
  </si>
  <si>
    <t>CG84-328.jpg</t>
  </si>
  <si>
    <t>Well-layered metasedimentary gneiss</t>
  </si>
  <si>
    <t>CG84-342.1.jpg</t>
  </si>
  <si>
    <t>Gossanous, rusty-weathering metasedimentary gneiss with diatexite pods</t>
  </si>
  <si>
    <t>MN86-349</t>
  </si>
  <si>
    <t>MN86-349.1.jpg</t>
  </si>
  <si>
    <t>Z buckles in biotite hornblende quartz diorite</t>
  </si>
  <si>
    <t>MN86-349.2.jpg</t>
  </si>
  <si>
    <t>Well-banded amphibolitic/dioritic gneiss</t>
  </si>
  <si>
    <t>VN87-237</t>
  </si>
  <si>
    <t>VN87-237.2.jpg</t>
  </si>
  <si>
    <t>VN87-237.1.jpg</t>
  </si>
  <si>
    <t>Amphibolite enclave in Chateau Pond late- to post-Grenvillian granite</t>
  </si>
  <si>
    <t>VN87-241</t>
  </si>
  <si>
    <t>VN87-241.jpg</t>
  </si>
  <si>
    <t>Flow foliation in Chateau Pond late- to post-Grenvillian granite</t>
  </si>
  <si>
    <t>VN87-258</t>
  </si>
  <si>
    <t>VN87-258.1.jpg</t>
  </si>
  <si>
    <t>Garnetiferous melagabbro/amphibolite</t>
  </si>
  <si>
    <t>VN87-258.2.jpg</t>
  </si>
  <si>
    <t>Garnetiferous melagabbro/amphibolite with coarse-grained relict orthopyroxene crystals</t>
  </si>
  <si>
    <t>VN87-270.1.jpg</t>
  </si>
  <si>
    <t>Strongly foliated granodiorite with amphibolite/diorite enclave</t>
  </si>
  <si>
    <t>MN86-063.1.jpg</t>
  </si>
  <si>
    <t>Gabbro gneiss with amphibolite pod and crosscutting pegmatite</t>
  </si>
  <si>
    <t>SN86-411</t>
  </si>
  <si>
    <t>SN86-411.1.jpg</t>
  </si>
  <si>
    <t>SN86-411.2.jpg</t>
  </si>
  <si>
    <t>SN86-411.3.jpg</t>
  </si>
  <si>
    <t>SN86-412</t>
  </si>
  <si>
    <t>SN86-412.1.jpg</t>
  </si>
  <si>
    <t>Biotite sillimanite metasedimentary gneiss</t>
  </si>
  <si>
    <t>SN86-412.2.jpg</t>
  </si>
  <si>
    <t>SN86-414</t>
  </si>
  <si>
    <t>SN86-414.jpg</t>
  </si>
  <si>
    <t>Agmatitic amphibolite associated with metasedimentary gneiss</t>
  </si>
  <si>
    <t>SN86-419</t>
  </si>
  <si>
    <t>SN86-419.jpg</t>
  </si>
  <si>
    <t>SN86-424</t>
  </si>
  <si>
    <t>SN86-424.1.jpg</t>
  </si>
  <si>
    <t>Boudinage of leucocratic bands in granodioritic gneiss</t>
  </si>
  <si>
    <t>SN86-424.2.jpg</t>
  </si>
  <si>
    <t>Pegmatitic intrusion</t>
  </si>
  <si>
    <t>SN86-426</t>
  </si>
  <si>
    <t>SN86-426.jpg</t>
  </si>
  <si>
    <t>K-feldspar megacrystic granodiorite showing dextral rotation</t>
  </si>
  <si>
    <t>CG80-350</t>
  </si>
  <si>
    <t>CG80-350.01.jpg</t>
  </si>
  <si>
    <t>Nebulitic granodiorite discordantly intruded by mafic dyke</t>
  </si>
  <si>
    <t>CG80-350.06.jpg</t>
  </si>
  <si>
    <t>Metasedimentary(?) gneiss enclave in nebulitic granodiorite, intruded by mafic dyke</t>
  </si>
  <si>
    <t>CG80-350.05.jpg</t>
  </si>
  <si>
    <t>Fabric in nebulitic granodiorite</t>
  </si>
  <si>
    <t>CG80-351</t>
  </si>
  <si>
    <t>CG80-351.1.jpg</t>
  </si>
  <si>
    <t>Thinning of one limb of folded mafic dyke</t>
  </si>
  <si>
    <t>PE82-149.3.jpg</t>
  </si>
  <si>
    <t>Double Mer Formation; MT taking paleomag. Reading</t>
  </si>
  <si>
    <t>MN86-359</t>
  </si>
  <si>
    <t>MN86-359.jpg</t>
  </si>
  <si>
    <t>Amphibolite dyke in coarse-grained gabbronorite</t>
  </si>
  <si>
    <t>VN91-091.2.jpg</t>
  </si>
  <si>
    <t>Amphibolite lenses in biotite granite</t>
  </si>
  <si>
    <t>MC77-244</t>
  </si>
  <si>
    <t>MC77-244.1.jpg</t>
  </si>
  <si>
    <t>MC77-244.2.jpg</t>
  </si>
  <si>
    <t>NN80-057.2.jpg</t>
  </si>
  <si>
    <t>CG80-348.1.jpg</t>
  </si>
  <si>
    <t>CG80-348.4.jpg</t>
  </si>
  <si>
    <t>Later mobilization across mafic dyke</t>
  </si>
  <si>
    <t>CG80-348.3.jpg</t>
  </si>
  <si>
    <t>JS87-393</t>
  </si>
  <si>
    <t>JS87-393.jpg</t>
  </si>
  <si>
    <t>Banded microgranite intruded by pegmatite</t>
  </si>
  <si>
    <t>JS87-403</t>
  </si>
  <si>
    <t>JS87-403.jpg</t>
  </si>
  <si>
    <t>JS87-418</t>
  </si>
  <si>
    <t>JS87-418.jpg</t>
  </si>
  <si>
    <t>Metasedimentary gneiss containing sillimanite and rare garnet</t>
  </si>
  <si>
    <t>JS87-459</t>
  </si>
  <si>
    <t>JS87-459.jpg</t>
  </si>
  <si>
    <t>Very migmatitic granodioritic gneiss</t>
  </si>
  <si>
    <t>VN92-070.6.jpg</t>
  </si>
  <si>
    <t>Granodiorite/granite dyke intruding foliated granite</t>
  </si>
  <si>
    <t>VN91-137</t>
  </si>
  <si>
    <t>VN91-137.1.jpg</t>
  </si>
  <si>
    <t>Lineation and foliation in biotite granodiorite</t>
  </si>
  <si>
    <t>VN91-137.2.jpg</t>
  </si>
  <si>
    <t>VN91-138</t>
  </si>
  <si>
    <t>VN91-138.jpg</t>
  </si>
  <si>
    <t>K-feldspar megacrystic biotite hornblende granite</t>
  </si>
  <si>
    <t>VN91-141</t>
  </si>
  <si>
    <t>VN91-141.2.jpg</t>
  </si>
  <si>
    <t>Well-banded / mylonitic granodiorite gneiss</t>
  </si>
  <si>
    <t>VN91-141.1.jpg</t>
  </si>
  <si>
    <t>VN87-135.2.jpg</t>
  </si>
  <si>
    <t>VN87-136</t>
  </si>
  <si>
    <t>VN87-136.jpg</t>
  </si>
  <si>
    <t>Quartz diorite orthogneiss</t>
  </si>
  <si>
    <t>LC85-009.2.jpg</t>
  </si>
  <si>
    <t>MC77-104</t>
  </si>
  <si>
    <t>MC77-104.jpg</t>
  </si>
  <si>
    <t>Dioritic and granitic gneiss</t>
  </si>
  <si>
    <t>MC77-114</t>
  </si>
  <si>
    <t>MC77-114.jpg</t>
  </si>
  <si>
    <t>Granitic gneiss intruded by pegmatite</t>
  </si>
  <si>
    <t>MC77-127.1.jpg</t>
  </si>
  <si>
    <t>Amphibolite zone in granitic gneiss</t>
  </si>
  <si>
    <t>CG87-660.1.jpg</t>
  </si>
  <si>
    <t>CG87-662</t>
  </si>
  <si>
    <t>CG87-662.2.jpg</t>
  </si>
  <si>
    <t>CG87-662.1.jpg</t>
  </si>
  <si>
    <t>CG87-662.3.jpg</t>
  </si>
  <si>
    <t>CG93-731.1.jpg</t>
  </si>
  <si>
    <t>CG85-157</t>
  </si>
  <si>
    <t>CG85-157.jpg</t>
  </si>
  <si>
    <t>Slightly migmatized diorite</t>
  </si>
  <si>
    <t>CG85-178</t>
  </si>
  <si>
    <t>CG85-178.2.jpg</t>
  </si>
  <si>
    <t>White Hills from south</t>
  </si>
  <si>
    <t>CG85-178.1.jpg</t>
  </si>
  <si>
    <t>CG85-180</t>
  </si>
  <si>
    <t>CG85-180.2.jpg</t>
  </si>
  <si>
    <t>Leucotroctolite with coronitic texture</t>
  </si>
  <si>
    <t>CG87-464</t>
  </si>
  <si>
    <t>CG87-464.2.jpg</t>
  </si>
  <si>
    <t>Coarse-grained foliated granite with mafic enclaves and pegmatite</t>
  </si>
  <si>
    <t>CG87-466</t>
  </si>
  <si>
    <t>CG87-466.jpg</t>
  </si>
  <si>
    <t>Granodiorite, mafic dykes and microgranite</t>
  </si>
  <si>
    <t>CG87-488.37.jpg</t>
  </si>
  <si>
    <t>Battle Harbour wild flowers -4</t>
  </si>
  <si>
    <t>CG87-488.38.jpg</t>
  </si>
  <si>
    <t>Battle Harbour wild flowers -5</t>
  </si>
  <si>
    <t>CG87-488.39.jpg</t>
  </si>
  <si>
    <t>Battle Harbour wild flowers -6</t>
  </si>
  <si>
    <t>CG87-488.40.jpg</t>
  </si>
  <si>
    <t>Battle Harbour from helicopter</t>
  </si>
  <si>
    <t>CG92-053.5E.jpg</t>
  </si>
  <si>
    <t>Wetlands on the west side of Kyfanan Lake (4 km NW of CG92-053 looking S)</t>
  </si>
  <si>
    <t>CG92-053.4E.jpg</t>
  </si>
  <si>
    <t>Kyfanan Lake</t>
  </si>
  <si>
    <t>CG92-053.3.jpg</t>
  </si>
  <si>
    <t>Cabin at Kyfanan Lake with DF, VP and CS</t>
  </si>
  <si>
    <t>CG84-344</t>
  </si>
  <si>
    <t>CG84-344.jpg</t>
  </si>
  <si>
    <t>K-feldspar megacrystic granodiorite intruded by pegmatite</t>
  </si>
  <si>
    <t>CG84-360</t>
  </si>
  <si>
    <t>CG84-360.jpg</t>
  </si>
  <si>
    <t>Ultramafic enclave in microleuconorite</t>
  </si>
  <si>
    <t>NN80-270</t>
  </si>
  <si>
    <t>NN80-270.jpg</t>
  </si>
  <si>
    <t>Former mafic dykes or biotite-rich zones in K-feldspar megacrystic granodiorite</t>
  </si>
  <si>
    <t>NN84-073.3.jpg</t>
  </si>
  <si>
    <t>Well-banded gneiss (derived from melanocratic part of Alexis River anorthosite? -CFG); JO</t>
  </si>
  <si>
    <t>CG80-102.04.jpg</t>
  </si>
  <si>
    <t>Community of Rigolet 4</t>
  </si>
  <si>
    <t>CG80-694</t>
  </si>
  <si>
    <t>CG80-694.3.jpg</t>
  </si>
  <si>
    <t>Granodiorite, two phases of mafic dyke, then Michael gabbro</t>
  </si>
  <si>
    <t>CG80-697</t>
  </si>
  <si>
    <t>CG80-697.1.jpg</t>
  </si>
  <si>
    <t>CG80-698</t>
  </si>
  <si>
    <t>CG80-698.1.jpg</t>
  </si>
  <si>
    <t>Major folds</t>
  </si>
  <si>
    <t>CG80-698.2.jpg</t>
  </si>
  <si>
    <t>CG80-732.1.jpg</t>
  </si>
  <si>
    <t>Porcupine Strand</t>
  </si>
  <si>
    <t>GF81-194</t>
  </si>
  <si>
    <t>GF81-194.jpg</t>
  </si>
  <si>
    <t>Orthogneiss with concordant amphibolite</t>
  </si>
  <si>
    <t>GF81-329.1.jpg</t>
  </si>
  <si>
    <t>Mafic dyke agmatitically injected into granodiorite</t>
  </si>
  <si>
    <t>CG99-287.4.jpg</t>
  </si>
  <si>
    <t>CG99-287.1.jpg</t>
  </si>
  <si>
    <t>CG93-362</t>
  </si>
  <si>
    <t>CG93-362.jpg</t>
  </si>
  <si>
    <t>Texture in coarse-grained, foliated alkali-feldspar granite</t>
  </si>
  <si>
    <t>CG81-739.2.jpg</t>
  </si>
  <si>
    <t>CG81-740</t>
  </si>
  <si>
    <t>CG81-740.jpg</t>
  </si>
  <si>
    <t>CG79-340</t>
  </si>
  <si>
    <t>CG79-340.1.jpg</t>
  </si>
  <si>
    <t>Tonalitic and granodioritic gneiss intruded by mafic dyke</t>
  </si>
  <si>
    <t>VN91-059</t>
  </si>
  <si>
    <t>VN91-059.3.jpg</t>
  </si>
  <si>
    <t>VN91-064</t>
  </si>
  <si>
    <t>VN91-064.jpg</t>
  </si>
  <si>
    <t>VN91-068.5.jpg</t>
  </si>
  <si>
    <t>Mafic-mineral-rich (hornblende) anorthosite</t>
  </si>
  <si>
    <t>VN91-068.1.jpg</t>
  </si>
  <si>
    <t>Strong fabric in meta-anorthosite</t>
  </si>
  <si>
    <t>VN91-068.4.jpg</t>
  </si>
  <si>
    <t>Fabric in anorthosite</t>
  </si>
  <si>
    <t>VN91-180.7.jpg</t>
  </si>
  <si>
    <t>CG86-329</t>
  </si>
  <si>
    <t>CG86-329.1.jpg</t>
  </si>
  <si>
    <t>Retrograde garnet in sillimanite-bearing metasedimentary gneiss</t>
  </si>
  <si>
    <t>NN80-157</t>
  </si>
  <si>
    <t>NN80-157.1.jpg</t>
  </si>
  <si>
    <t>Discordant contact between amphibolite boudin and granodioritic gneiss</t>
  </si>
  <si>
    <t>NN80-157.2.jpg</t>
  </si>
  <si>
    <t>NN80-157.3.jpg</t>
  </si>
  <si>
    <t>Amphibolite dyke in granitic gneiss</t>
  </si>
  <si>
    <t>NN80-157.4.jpg</t>
  </si>
  <si>
    <t>Fabric in amphibolite at high angle to fabric in gneiss; separated by pegmatite</t>
  </si>
  <si>
    <t>VN91-095.2.jpg</t>
  </si>
  <si>
    <t>CG80-189</t>
  </si>
  <si>
    <t>CG80-189.2.jpg</t>
  </si>
  <si>
    <t>Gneiss intruded by amphibolite</t>
  </si>
  <si>
    <t>CG80-189.1.jpg</t>
  </si>
  <si>
    <t>CG80-422.6.jpg</t>
  </si>
  <si>
    <t>CG80-422.1.jpg</t>
  </si>
  <si>
    <t>SN86-429</t>
  </si>
  <si>
    <t>SN86-429.1.jpg</t>
  </si>
  <si>
    <t>Discordant minor intrusions</t>
  </si>
  <si>
    <t>SN86-429.2.jpg</t>
  </si>
  <si>
    <t>SN86-430</t>
  </si>
  <si>
    <t>SN86-430.jpg</t>
  </si>
  <si>
    <t>K-feldspar megacrystic granodiorite with hornblende concentrations</t>
  </si>
  <si>
    <t>VN84-007</t>
  </si>
  <si>
    <t>VN84-007.jpg</t>
  </si>
  <si>
    <t>Banded amphibolite in metasedimentary gneiss; Nat Noel</t>
  </si>
  <si>
    <t>VN84-190.2.jpg</t>
  </si>
  <si>
    <t>Plagioclase-rich pod in leucogabbro</t>
  </si>
  <si>
    <t>VN84-192</t>
  </si>
  <si>
    <t>VN84-192.1.jpg</t>
  </si>
  <si>
    <t>Well-banded amphibolite/diorite</t>
  </si>
  <si>
    <t>VN93-106</t>
  </si>
  <si>
    <t>VN93-106.2.jpg</t>
  </si>
  <si>
    <t>Texture of amphibolite dyke intruding foliated granite</t>
  </si>
  <si>
    <t>CG86-018.14.jpg</t>
  </si>
  <si>
    <t>CG86-018.06.jpg</t>
  </si>
  <si>
    <t>Primary grain size in Alexis river anorthosite</t>
  </si>
  <si>
    <t>VO81-540</t>
  </si>
  <si>
    <t>VO81-540.2.jpg</t>
  </si>
  <si>
    <t>VO81-540.1.jpg</t>
  </si>
  <si>
    <t>VO81-556</t>
  </si>
  <si>
    <t>VO81-556.1.jpg</t>
  </si>
  <si>
    <t>Diabase with enclaves of Hare Harbour gneiss</t>
  </si>
  <si>
    <t>VO81-556.2.jpg</t>
  </si>
  <si>
    <t>Diorite-amphibolite with enclave</t>
  </si>
  <si>
    <t>VO81-562</t>
  </si>
  <si>
    <t>VO81-562.4.jpg</t>
  </si>
  <si>
    <t>Amphibolite enclaves</t>
  </si>
  <si>
    <t>VO81-562.2.jpg</t>
  </si>
  <si>
    <t>Enclave of fine-grained granodiorite in coarse-grained K-feldspar megacrystic granodiorite</t>
  </si>
  <si>
    <t>VO81-562.1.jpg</t>
  </si>
  <si>
    <t>VO81-562.3.jpg</t>
  </si>
  <si>
    <t>CG80-639</t>
  </si>
  <si>
    <t>CG80-639.2.jpg</t>
  </si>
  <si>
    <t>Hornblende syenite</t>
  </si>
  <si>
    <t>RG80-093</t>
  </si>
  <si>
    <t>RG80-093.jpg</t>
  </si>
  <si>
    <t>RG80-096</t>
  </si>
  <si>
    <t>RG80-096.jpg</t>
  </si>
  <si>
    <t>Migmatitic granodiorite showing folded foliation</t>
  </si>
  <si>
    <t>RG80-098</t>
  </si>
  <si>
    <t>RG80-098.2.jpg</t>
  </si>
  <si>
    <t>Mylonitic tonalitic to granodioritic gneiss</t>
  </si>
  <si>
    <t>RG80-098.1.jpg</t>
  </si>
  <si>
    <t>Granodioritic to tonalitic gneiss</t>
  </si>
  <si>
    <t>AL78-011</t>
  </si>
  <si>
    <t>AL78-011.1.jpg</t>
  </si>
  <si>
    <t>Adlavik gabbro, intruded by mafic dyke then granitic vein</t>
  </si>
  <si>
    <t>JA92-021</t>
  </si>
  <si>
    <t>JA92-021.jpg</t>
  </si>
  <si>
    <t>Foliation in medium-grained granite</t>
  </si>
  <si>
    <t>CG99-366</t>
  </si>
  <si>
    <t>CG99-366.1.jpg</t>
  </si>
  <si>
    <t>CG99-366.2.jpg</t>
  </si>
  <si>
    <t>CG99-368</t>
  </si>
  <si>
    <t>CG99-368.jpg</t>
  </si>
  <si>
    <t>CG93-527</t>
  </si>
  <si>
    <t>CG93-527.jpg</t>
  </si>
  <si>
    <t>Texture in late- to post-Grenvillian Upper Beaver Brook hornblende quartz monzonite</t>
  </si>
  <si>
    <t>CG93-528</t>
  </si>
  <si>
    <t>CG93-528.jpg</t>
  </si>
  <si>
    <t>CG93-533</t>
  </si>
  <si>
    <t>CG93-533.jpg</t>
  </si>
  <si>
    <t>CG93-541</t>
  </si>
  <si>
    <t>CG93-541.jpg</t>
  </si>
  <si>
    <t>Hornblende biotite alkali-feldspar granite</t>
  </si>
  <si>
    <t>CG93-546</t>
  </si>
  <si>
    <t>CG93-546.jpg</t>
  </si>
  <si>
    <t>Quartzite with amphibolite layers</t>
  </si>
  <si>
    <t>CG81-753</t>
  </si>
  <si>
    <t>CG81-753.jpg</t>
  </si>
  <si>
    <t>Tonalite gneiss with creamy microgranite</t>
  </si>
  <si>
    <t>CG82-027.1.jpg</t>
  </si>
  <si>
    <t>Pottles Bay intrusion, melanocratic zone in gabbro on south side</t>
  </si>
  <si>
    <t>CG84-178</t>
  </si>
  <si>
    <t>CG84-178.jpg</t>
  </si>
  <si>
    <t>Margin of Alexis River anorthosite</t>
  </si>
  <si>
    <t>CG84-184</t>
  </si>
  <si>
    <t>CG84-184.jpg</t>
  </si>
  <si>
    <t>Agmatized amphibolitic gneiss</t>
  </si>
  <si>
    <t>CG03-027</t>
  </si>
  <si>
    <t>CG03-027.jpg</t>
  </si>
  <si>
    <t>Tight, overturned fold</t>
  </si>
  <si>
    <t>MC77-249</t>
  </si>
  <si>
    <t>MC77-249.3.jpg</t>
  </si>
  <si>
    <t>Folded mylonitic tonalitic/granodioritic gneiss (no scan of slide)</t>
  </si>
  <si>
    <t>CG92-053.2.jpg</t>
  </si>
  <si>
    <t>Upper St. Lewis River (west) granite</t>
  </si>
  <si>
    <t>CG92-065.1.jpg</t>
  </si>
  <si>
    <t>VN91-465</t>
  </si>
  <si>
    <t>VN91-465.1.jpg</t>
  </si>
  <si>
    <t>CG07-170</t>
  </si>
  <si>
    <t>CG07-170.jpg</t>
  </si>
  <si>
    <t>New cemetery on Battle Island; intercalated pegmatite and calc-silicate rock in background</t>
  </si>
  <si>
    <t>VN92-206</t>
  </si>
  <si>
    <t>VN92-206.2.jpg</t>
  </si>
  <si>
    <t>Massive to weakly foliated Upper St. Paul River (northwest) monzonite</t>
  </si>
  <si>
    <t>VN92-206.1.jpg</t>
  </si>
  <si>
    <t>VN92-207</t>
  </si>
  <si>
    <t>VN92-207.1.jpg</t>
  </si>
  <si>
    <t>Rapakivi texture in Upper St. Paul River  (northwest) monzonite</t>
  </si>
  <si>
    <t>VN92-209</t>
  </si>
  <si>
    <t>VN92-209.jpg</t>
  </si>
  <si>
    <t>VN92-210</t>
  </si>
  <si>
    <t>VN92-210.1.jpg</t>
  </si>
  <si>
    <t>VN92-210.2.jpg</t>
  </si>
  <si>
    <t>CG87-664</t>
  </si>
  <si>
    <t>CG87-664.jpg</t>
  </si>
  <si>
    <t>Enclave in Long Range? mafic dyke</t>
  </si>
  <si>
    <t>CG86-549.1cropped.jpg</t>
  </si>
  <si>
    <t>CG86-557.2E.jpg</t>
  </si>
  <si>
    <t>New York Bay, near Charlottetown 3</t>
  </si>
  <si>
    <t>CG86-605</t>
  </si>
  <si>
    <t>CG86-605E.jpg</t>
  </si>
  <si>
    <t>New York Bay, near Charlottetown, looking west</t>
  </si>
  <si>
    <t>CG86-606</t>
  </si>
  <si>
    <t>CG86-606E.jpg</t>
  </si>
  <si>
    <t>New York Bay, near Charlottetown, looking northeast</t>
  </si>
  <si>
    <t>CG86-618.2cropped.jpg</t>
  </si>
  <si>
    <t>CG86-667</t>
  </si>
  <si>
    <t>CG86-667cropped.jpg</t>
  </si>
  <si>
    <t>Coarse-grained, metamorphosed White Bear Arm complex</t>
  </si>
  <si>
    <t>CG86-682</t>
  </si>
  <si>
    <t>CG86-682.1E.jpg</t>
  </si>
  <si>
    <t>Deformation zone on the south side of the White Bear Arm complex</t>
  </si>
  <si>
    <t>CG86-683</t>
  </si>
  <si>
    <t>CG86-683.2E.jpg</t>
  </si>
  <si>
    <t>CG86-683.3E.jpg</t>
  </si>
  <si>
    <t>Hole-in-the-wall</t>
  </si>
  <si>
    <t>CG86-692.1cropped.jpg</t>
  </si>
  <si>
    <t>CG86-692.3cropped.jpg</t>
  </si>
  <si>
    <t>Enclave of K-feldspar megacrystic granodiorite in Gilbert Bay pluton</t>
  </si>
  <si>
    <t>CG86-697</t>
  </si>
  <si>
    <t>CG86-697cropped.jpg</t>
  </si>
  <si>
    <t>Riviere Beaujeault headwaters quartz syenite; geochronology sample site</t>
  </si>
  <si>
    <t>CG86-720</t>
  </si>
  <si>
    <t>CG86-720E.jpg</t>
  </si>
  <si>
    <t>Mafic dyke partly discordant and partly concordant to foliation</t>
  </si>
  <si>
    <t>CG86-746.1cropped.jpg</t>
  </si>
  <si>
    <t>Swarm of parallel metamorphosed mafic dykes</t>
  </si>
  <si>
    <t>CG95-096</t>
  </si>
  <si>
    <t>CG95-096.6.jpg</t>
  </si>
  <si>
    <t>Banded gneiss intruded by pegmatite and microgranite</t>
  </si>
  <si>
    <t>CG95-096.7.jpg</t>
  </si>
  <si>
    <t>Metamorphosed mafic dyke discordantly intruding gneiss</t>
  </si>
  <si>
    <t>CG95-096.8.jpg</t>
  </si>
  <si>
    <t>CG95-096.2.jpg</t>
  </si>
  <si>
    <t>Melagabbro dyke discordantly intruding gneiss</t>
  </si>
  <si>
    <t>CG95-097</t>
  </si>
  <si>
    <t>CG95-097.2.jpg</t>
  </si>
  <si>
    <t>Metamorphosed mafic dyke intruding layered mafic intrusion</t>
  </si>
  <si>
    <t>CG95-097.1.jpg</t>
  </si>
  <si>
    <t>CG95-106</t>
  </si>
  <si>
    <t>CG95-106.jpg</t>
  </si>
  <si>
    <t>Gneissic enclave at margin of Mealy Mountains Intrusive Suite</t>
  </si>
  <si>
    <t>CG79-099</t>
  </si>
  <si>
    <t>CG79-099.1.jpg</t>
  </si>
  <si>
    <t>CG on top of Mount Benedict</t>
  </si>
  <si>
    <t>MC77-250</t>
  </si>
  <si>
    <t>MC77-250.jpg</t>
  </si>
  <si>
    <t>Banded amphibolite</t>
  </si>
  <si>
    <t>MN86-253</t>
  </si>
  <si>
    <t>MN86-253.jpg</t>
  </si>
  <si>
    <t>Agmatitic amphibolite in K-feldspar megacrystic granodiorite</t>
  </si>
  <si>
    <t>MN86-258</t>
  </si>
  <si>
    <t>MN86-258.1.jpg</t>
  </si>
  <si>
    <t>MN86-258.2.jpg</t>
  </si>
  <si>
    <t>MN86-259</t>
  </si>
  <si>
    <t>MN86-259.jpg</t>
  </si>
  <si>
    <t>K-feldspar porphyroblast in metasedimentary gneiss</t>
  </si>
  <si>
    <t>MN86-264</t>
  </si>
  <si>
    <t>MN86-264.jpg</t>
  </si>
  <si>
    <t>Gossan between amphibolitic gneiss and metasedimentary gneiss</t>
  </si>
  <si>
    <t>GM85-517.1.jpg</t>
  </si>
  <si>
    <t>CG79-791.1.jpg</t>
  </si>
  <si>
    <t>Tight fold nose and its transposition during later shearing</t>
  </si>
  <si>
    <t>MC77-049</t>
  </si>
  <si>
    <t>MC77-049.1.jpg</t>
  </si>
  <si>
    <t>Folded granitic vein in quartz diorite</t>
  </si>
  <si>
    <t>MC77-049.2.jpg</t>
  </si>
  <si>
    <t>Folded pegmatite vein in Earl Island quartz diorite</t>
  </si>
  <si>
    <t>MC77-054</t>
  </si>
  <si>
    <t>MC77-054.1.jpg</t>
  </si>
  <si>
    <t>Granite veins in Earl Island quartz diorite</t>
  </si>
  <si>
    <t>MC77-054.2.jpg</t>
  </si>
  <si>
    <t>MC77-055.1.jpg</t>
  </si>
  <si>
    <t>MC77-055.2.jpg</t>
  </si>
  <si>
    <t>CG85-472.1.jpg</t>
  </si>
  <si>
    <t>CG98-003</t>
  </si>
  <si>
    <t>CG98-003.1.jpg</t>
  </si>
  <si>
    <t>Massive monzonite with indistinct magnetite layers</t>
  </si>
  <si>
    <t>JS86-042</t>
  </si>
  <si>
    <t>JS86-042.jpg</t>
  </si>
  <si>
    <t>VN91-001.6.jpg</t>
  </si>
  <si>
    <t>Sinistral shearing in K-feldspar megacrystic granite</t>
  </si>
  <si>
    <t>DD91-032</t>
  </si>
  <si>
    <t>DD91-032.2.jpg</t>
  </si>
  <si>
    <t>DD91-033</t>
  </si>
  <si>
    <t>DD91-033.1.jpg</t>
  </si>
  <si>
    <t>DD91-033.2.jpg</t>
  </si>
  <si>
    <t>DD91-034</t>
  </si>
  <si>
    <t>DD91-034.1.jpg</t>
  </si>
  <si>
    <t>DD91-034.2.jpg</t>
  </si>
  <si>
    <t>DD91-037.5.jpg</t>
  </si>
  <si>
    <t>VO81-014</t>
  </si>
  <si>
    <t>VO81-014.2.jpg</t>
  </si>
  <si>
    <t>Concordant pegmatite in foliated granodiorite</t>
  </si>
  <si>
    <t>VO81-014.1.jpg</t>
  </si>
  <si>
    <t>Moderately granulated granodiorite</t>
  </si>
  <si>
    <t>VO81-016</t>
  </si>
  <si>
    <t>VO81-016.jpg</t>
  </si>
  <si>
    <t>Interlayered spotted diorite and granulated pegmatite</t>
  </si>
  <si>
    <t>CG80-178</t>
  </si>
  <si>
    <t>CG80-178.3.jpg</t>
  </si>
  <si>
    <t>Contact between mafic dyke and granodiorite</t>
  </si>
  <si>
    <t>CG80-178.2.jpg</t>
  </si>
  <si>
    <t>Mafic dyke in granodiorite</t>
  </si>
  <si>
    <t>CG80-178.1.jpg</t>
  </si>
  <si>
    <t>K-feldspar megacrystic granodiorite intruded by mafic dykes</t>
  </si>
  <si>
    <t>CG80-179</t>
  </si>
  <si>
    <t>CG80-179.jpg</t>
  </si>
  <si>
    <t>K-feldspar megacrystic granodiorite intruding amphibolite</t>
  </si>
  <si>
    <t>CG80-180</t>
  </si>
  <si>
    <t>CG80-180.jpg</t>
  </si>
  <si>
    <t>Partially melted hornblende diorite</t>
  </si>
  <si>
    <t>CG80-183</t>
  </si>
  <si>
    <t>CG80-183.jpg</t>
  </si>
  <si>
    <t>Calc-silicate and semi-pelitic metasedimentary gneiss</t>
  </si>
  <si>
    <t>CG80-185</t>
  </si>
  <si>
    <t>CG80-185.jpg</t>
  </si>
  <si>
    <t>Granodioritic gneiss with amphibolite</t>
  </si>
  <si>
    <t>CG81-187.1.jpg</t>
  </si>
  <si>
    <t>VN93-039.2.jpg</t>
  </si>
  <si>
    <t>Dextral shearing in granodiorite</t>
  </si>
  <si>
    <t>VN93-041.1.jpg</t>
  </si>
  <si>
    <t>Magnetite crystals in pegmatite intruding foliated granite</t>
  </si>
  <si>
    <t>CG86-046</t>
  </si>
  <si>
    <t>CG86-046.1.jpg</t>
  </si>
  <si>
    <t>K-feldspar megacrystic granodiorite and quartz vein</t>
  </si>
  <si>
    <t>CG86-046.3.jpg</t>
  </si>
  <si>
    <t>Sillimanite garnet pelitic metasedimentary gneiss</t>
  </si>
  <si>
    <t>CG86-046.2.jpg</t>
  </si>
  <si>
    <t>Mylonitic border between pelitic gneiss and K0feldspar megacrystic granodiorite</t>
  </si>
  <si>
    <t>CG00-319.1.jpg</t>
  </si>
  <si>
    <t>Megacrystic granodiorite, geochronology site</t>
  </si>
  <si>
    <t>CG00-319.2.jpg</t>
  </si>
  <si>
    <t>Amphibolite, geochronology site</t>
  </si>
  <si>
    <t>CG91-072.3.jpg</t>
  </si>
  <si>
    <t>CG92-006</t>
  </si>
  <si>
    <t>CG92-006.jpg</t>
  </si>
  <si>
    <t>Coarse-grained, massive syenite to granite</t>
  </si>
  <si>
    <t>CG92-023</t>
  </si>
  <si>
    <t>CG92-023.jpg</t>
  </si>
  <si>
    <t>MC77-061</t>
  </si>
  <si>
    <t>MC77-061.1.jpg</t>
  </si>
  <si>
    <t>Amphibolitic to dioritic gneiss</t>
  </si>
  <si>
    <t>MC77-061.2.jpg</t>
  </si>
  <si>
    <t>Strongly deformed dioritic gneiss</t>
  </si>
  <si>
    <t>VO81-021</t>
  </si>
  <si>
    <t>VO81-021.2.jpg</t>
  </si>
  <si>
    <t>Granodiorite/tonalite gneiss</t>
  </si>
  <si>
    <t>SN86-106</t>
  </si>
  <si>
    <t>SN86-106.jpg</t>
  </si>
  <si>
    <t>Biotite hornblende granite</t>
  </si>
  <si>
    <t>SN86-107</t>
  </si>
  <si>
    <t>SN86-107.jpg</t>
  </si>
  <si>
    <t>Strongly foliated amphibolite within garnet-bearing granite</t>
  </si>
  <si>
    <t>VN91-103.1.jpg</t>
  </si>
  <si>
    <t>RG80-133.03.jpg</t>
  </si>
  <si>
    <t>RG80-133.09.jpg</t>
  </si>
  <si>
    <t>CG03-203</t>
  </si>
  <si>
    <t>CG03-203.jpg</t>
  </si>
  <si>
    <t>Garnet band with quartz in centre; calc-silicate rock?</t>
  </si>
  <si>
    <t>CG03-207</t>
  </si>
  <si>
    <t>CG03-207.jpg</t>
  </si>
  <si>
    <t>Folded amphibolite and discordant pegmatite</t>
  </si>
  <si>
    <t>CG03-208.3.jpg</t>
  </si>
  <si>
    <t>CG03-208.1.jpg</t>
  </si>
  <si>
    <t>Migmatitic amphibolite with garnet</t>
  </si>
  <si>
    <t>CG07-162</t>
  </si>
  <si>
    <t>CG07-162.2.jpg</t>
  </si>
  <si>
    <t>Mottled texture in calc-silicate rock</t>
  </si>
  <si>
    <t>CG07-162.3.jpg</t>
  </si>
  <si>
    <t>VN92-195</t>
  </si>
  <si>
    <t>VN92-195.jpg</t>
  </si>
  <si>
    <t>Strongly foliated amphibolite</t>
  </si>
  <si>
    <t>VN92-197.05.jpg</t>
  </si>
  <si>
    <t>Interlaminated granite and fine-grained amphibolite</t>
  </si>
  <si>
    <t>VN92-197.06.jpg</t>
  </si>
  <si>
    <t>Late granite vein intruding foliated granite</t>
  </si>
  <si>
    <t>VN92-197.02.jpg</t>
  </si>
  <si>
    <t>Boudinaged amphibolite and fine-grained recrystallized granite</t>
  </si>
  <si>
    <t>CG83-450</t>
  </si>
  <si>
    <t>CG83-450.2.jpg</t>
  </si>
  <si>
    <t>CG00-221</t>
  </si>
  <si>
    <t>CG00-221.6.jpg</t>
  </si>
  <si>
    <t>Quartzite, geochronology potential site</t>
  </si>
  <si>
    <t>CG00-224</t>
  </si>
  <si>
    <t>CG00-224.jpg</t>
  </si>
  <si>
    <t>Late- to post-Grenvillian quartz monzonite</t>
  </si>
  <si>
    <t>JS86-027</t>
  </si>
  <si>
    <t>JS86-027.jpg</t>
  </si>
  <si>
    <t>Deformed granitic dyke truncating amphibolitic gneiss</t>
  </si>
  <si>
    <t>JS86-028</t>
  </si>
  <si>
    <t>JS86-028.jpg</t>
  </si>
  <si>
    <t>Shear truncating K-feldspar megacrystic granodiorite</t>
  </si>
  <si>
    <t>JS86-031.1.jpg</t>
  </si>
  <si>
    <t>HP92-130</t>
  </si>
  <si>
    <t>HP92-130.1.jpg</t>
  </si>
  <si>
    <t>92-07</t>
  </si>
  <si>
    <t>SEP 92C</t>
  </si>
  <si>
    <t>Plagioclase megacrysts in Upper Paradise River anorthosite</t>
  </si>
  <si>
    <t>HP92-140</t>
  </si>
  <si>
    <t>HP92-140.2.jpg</t>
  </si>
  <si>
    <t>Vein/pod of leucocratic granite in medium-grained amphibole-bearing granite</t>
  </si>
  <si>
    <t>CG98-145</t>
  </si>
  <si>
    <t>CG98-145.jpg</t>
  </si>
  <si>
    <t>Coarse-grained anorthosite</t>
  </si>
  <si>
    <t>CG98-146</t>
  </si>
  <si>
    <t>CG98-146.jpg</t>
  </si>
  <si>
    <t>VN92-123</t>
  </si>
  <si>
    <t>VN92-123.jpg</t>
  </si>
  <si>
    <t>VN92-127</t>
  </si>
  <si>
    <t>VN92-127.jpg</t>
  </si>
  <si>
    <t>VN92-130</t>
  </si>
  <si>
    <t>VN92-130.jpg</t>
  </si>
  <si>
    <t>VN92-132</t>
  </si>
  <si>
    <t>VN92-132.jpg</t>
  </si>
  <si>
    <t>JS87-036</t>
  </si>
  <si>
    <t>JS87-036.jpg</t>
  </si>
  <si>
    <t>CG87-488.30.jpg</t>
  </si>
  <si>
    <t>Battle Harbour icebergs -1</t>
  </si>
  <si>
    <t>CG87-488.32.jpg</t>
  </si>
  <si>
    <t>Battle Harbour icebergs -3</t>
  </si>
  <si>
    <t>CG87-488.33.jpg</t>
  </si>
  <si>
    <t>Battle Harbour icebergs -4</t>
  </si>
  <si>
    <t>CG87-488.34.jpg</t>
  </si>
  <si>
    <t>Battle Harbour wild flowers -1</t>
  </si>
  <si>
    <t>CG87-488.35.jpg</t>
  </si>
  <si>
    <t>Battle Harbour wild flowers -2</t>
  </si>
  <si>
    <t>CG87-488.36.jpg</t>
  </si>
  <si>
    <t>Battle Harbour wild flowers -3</t>
  </si>
  <si>
    <t>CG80-425.2.jpg</t>
  </si>
  <si>
    <t>CG80-559</t>
  </si>
  <si>
    <t>CG80-559.jpg</t>
  </si>
  <si>
    <t>Gabbro (top) intruding granodiorite</t>
  </si>
  <si>
    <t>CG80-585.1.jpg</t>
  </si>
  <si>
    <t>AL78-192</t>
  </si>
  <si>
    <t>AL78-192.jpg</t>
  </si>
  <si>
    <t>Deformed K-feldspar augen Benedict-type granite</t>
  </si>
  <si>
    <t>CG87-478</t>
  </si>
  <si>
    <t>CG87-478.12.jpg</t>
  </si>
  <si>
    <t>Lighthouse Cove Formation and Grenvillian basement</t>
  </si>
  <si>
    <t>CG87-478.06.jpg</t>
  </si>
  <si>
    <t>Regolith beneath Lighthouse Cove Formation</t>
  </si>
  <si>
    <t>CG87-478.11.jpg</t>
  </si>
  <si>
    <t>CG87-479</t>
  </si>
  <si>
    <t>CG87-479.jpg</t>
  </si>
  <si>
    <t>Lighthouse Cove formation with jointed top surface showing</t>
  </si>
  <si>
    <t>VN84-375</t>
  </si>
  <si>
    <t>VN84-375.2.jpg</t>
  </si>
  <si>
    <t>Shear zone in Paradise Arm K-feldspar megacrystic monzogranite/granodiorite</t>
  </si>
  <si>
    <t>VN84-378</t>
  </si>
  <si>
    <t>VN84-378.jpg</t>
  </si>
  <si>
    <t>Migmatitic Paradise Arm K-feldspar megacrystic monzogranite/granodiorite</t>
  </si>
  <si>
    <t>VN84-431</t>
  </si>
  <si>
    <t>VN84-431.5.jpg</t>
  </si>
  <si>
    <t>Lineation in monzonite affiliated to White Bear Arm complex</t>
  </si>
  <si>
    <t>VN84-431.4.jpg</t>
  </si>
  <si>
    <t>VN93-215</t>
  </si>
  <si>
    <t>VN93-215.3.jpg</t>
  </si>
  <si>
    <t>Discordant composite vein intruding granodiorite gneiss</t>
  </si>
  <si>
    <t>VN93-216</t>
  </si>
  <si>
    <t>VN93-216.jpg</t>
  </si>
  <si>
    <t>VN93-218.3.jpg</t>
  </si>
  <si>
    <t>Sillimanite in semi-pelitic gneiss</t>
  </si>
  <si>
    <t>VN93-255</t>
  </si>
  <si>
    <t>VN93-255.jpg</t>
  </si>
  <si>
    <t>CG87-455</t>
  </si>
  <si>
    <t>CG87-455.4.jpg</t>
  </si>
  <si>
    <t>Development of magnetite-bearing pegmatite; intermediate stage</t>
  </si>
  <si>
    <t>CG87-455.5.jpg</t>
  </si>
  <si>
    <t>CG87-455.2.jpg</t>
  </si>
  <si>
    <t>Development of magnetite-bearing pegmatite; early stage</t>
  </si>
  <si>
    <t>CG87-455.1.jpg</t>
  </si>
  <si>
    <t>Buff microgranite intruding coarse-grained foliated granite</t>
  </si>
  <si>
    <t>CG87-455.6.jpg</t>
  </si>
  <si>
    <t>Development of magnetite-bearing pegmatite; advanced stage</t>
  </si>
  <si>
    <t>CG87-458</t>
  </si>
  <si>
    <t>CG87-458.2.jpg</t>
  </si>
  <si>
    <t>Magnetite-bearing patches and segregations</t>
  </si>
  <si>
    <t>CG87-458.1.jpg</t>
  </si>
  <si>
    <t>JS87-381</t>
  </si>
  <si>
    <t>JS87-381.1.jpg</t>
  </si>
  <si>
    <t>Metagabbro containing fine-grained amphibolite enclaves</t>
  </si>
  <si>
    <t>JS87-381.2.jpg</t>
  </si>
  <si>
    <t>CG97-300</t>
  </si>
  <si>
    <t>CG97-300.1.jpg</t>
  </si>
  <si>
    <t>CG79-346.1.jpg</t>
  </si>
  <si>
    <t>GF81-033</t>
  </si>
  <si>
    <t>GF81-033.jpg</t>
  </si>
  <si>
    <t>Igneous layering in anorthositic gabbronorite</t>
  </si>
  <si>
    <t>NN80-100</t>
  </si>
  <si>
    <t>NN80-100.3.jpg</t>
  </si>
  <si>
    <t>Amphibolite in fissile biotite-rich sheets, and MT</t>
  </si>
  <si>
    <t>NN80-119</t>
  </si>
  <si>
    <t>NN80-119.jpg</t>
  </si>
  <si>
    <t>Amphibolite dyke discordantly intruding granodioritic gneiss</t>
  </si>
  <si>
    <t>NN80-123.3.jpg</t>
  </si>
  <si>
    <t>VN84-439.4.jpg</t>
  </si>
  <si>
    <t>Waterfall; Beaver Brook</t>
  </si>
  <si>
    <t>VN84-439.2.jpg</t>
  </si>
  <si>
    <t>Rotated K-feldspar megacryst indicating top to west</t>
  </si>
  <si>
    <t>VN85-383</t>
  </si>
  <si>
    <t>VN85-383.jpg</t>
  </si>
  <si>
    <t>Crenulated metasedimentary gneiss</t>
  </si>
  <si>
    <t>VN85-387</t>
  </si>
  <si>
    <t>VN85-387.2.jpg</t>
  </si>
  <si>
    <t>Sinistral shear zone in metasedimentary gneiss</t>
  </si>
  <si>
    <t>VN85-387.1.jpg</t>
  </si>
  <si>
    <t>VN85-390</t>
  </si>
  <si>
    <t>VN85-390.jpg</t>
  </si>
  <si>
    <t>Granodioritic gneiss or metasedimentary gneiss with amphibolite enclaves</t>
  </si>
  <si>
    <t>VN85-397</t>
  </si>
  <si>
    <t>VN85-397.1.jpg</t>
  </si>
  <si>
    <t>Sillimanite metasedimentary gneiss with lineation</t>
  </si>
  <si>
    <t>CG00-272.3.jpg</t>
  </si>
  <si>
    <t>CG00-272.4.jpg</t>
  </si>
  <si>
    <t>CG00-280</t>
  </si>
  <si>
    <t>CG00-280.jpg</t>
  </si>
  <si>
    <t>Late- to post-Grenvillian granite, upper St. Augustin River pluton</t>
  </si>
  <si>
    <t>CG85-541</t>
  </si>
  <si>
    <t>CG85-541.4.jpg</t>
  </si>
  <si>
    <t>Layered gabbro</t>
  </si>
  <si>
    <t>CG86-528.08.jpg</t>
  </si>
  <si>
    <t>VN92-218.3.jpg</t>
  </si>
  <si>
    <t>Amphibolite (deformed dyke?) in foliated monzonite</t>
  </si>
  <si>
    <t>VN92-218.1.jpg</t>
  </si>
  <si>
    <t>Strongly foliated monzonite intruded by late granitic vein</t>
  </si>
  <si>
    <t>VN92-218.6.jpg</t>
  </si>
  <si>
    <t>Late granite intruding foliated monzonite</t>
  </si>
  <si>
    <t>VN92-218.2.jpg</t>
  </si>
  <si>
    <t>Agmatized zone of amphibolite and monzonite</t>
  </si>
  <si>
    <t>VN92-219</t>
  </si>
  <si>
    <t>VN92-219.jpg</t>
  </si>
  <si>
    <t>Coarse-grained, massive Upper St. Paul River (west) granite</t>
  </si>
  <si>
    <t>CG83-085</t>
  </si>
  <si>
    <t>CG83-085.jpg</t>
  </si>
  <si>
    <t>Garnet metagabbro showing igneous layering</t>
  </si>
  <si>
    <t>NN84-509.3.jpg</t>
  </si>
  <si>
    <t>Rodding in Alexis River anorthosite</t>
  </si>
  <si>
    <t>NN84-509.1.jpg</t>
  </si>
  <si>
    <t>Layered metagabbro</t>
  </si>
  <si>
    <t>NN84-509.7.jpg</t>
  </si>
  <si>
    <t>Gneissic banding in anorthosite</t>
  </si>
  <si>
    <t>NN84-509.2.jpg</t>
  </si>
  <si>
    <t>NN84-509.5.jpg</t>
  </si>
  <si>
    <t>NN84-509.4.jpg</t>
  </si>
  <si>
    <t>VN92-189</t>
  </si>
  <si>
    <t>VN92-189.3.jpg</t>
  </si>
  <si>
    <t>Foliated amphibolite/diorite</t>
  </si>
  <si>
    <t>MN86-329</t>
  </si>
  <si>
    <t>MN86-329.2.jpg</t>
  </si>
  <si>
    <t>Z-folded pegmatite in mylonite</t>
  </si>
  <si>
    <t>MN86-332</t>
  </si>
  <si>
    <t>MN86-332.jpg</t>
  </si>
  <si>
    <t>Granite intruding K-feldspar megacrystic granodiorite</t>
  </si>
  <si>
    <t>MN86-337</t>
  </si>
  <si>
    <t>MN86-337.jpg</t>
  </si>
  <si>
    <t>Biotite muscovite sillimanite metasedimentary gneiss</t>
  </si>
  <si>
    <t>MN86-338</t>
  </si>
  <si>
    <t>MN86-338.jpg</t>
  </si>
  <si>
    <t>Biotite muscovite pegmatite intruding hornblende diorite and amphibolite</t>
  </si>
  <si>
    <t>MN86-346</t>
  </si>
  <si>
    <t>MN86-346.jpg</t>
  </si>
  <si>
    <t>Quartzofeldspathic stringers in amphibolitic gneiss</t>
  </si>
  <si>
    <t>MN86-347</t>
  </si>
  <si>
    <t>MN86-347.jpg</t>
  </si>
  <si>
    <t>Contact between garnet biotite gneiss and amphibolitic gneiss</t>
  </si>
  <si>
    <t>MC77-150.1.jpg</t>
  </si>
  <si>
    <t>CG95-096.1.jpg</t>
  </si>
  <si>
    <t>Metamorphosed melagabbro dyke discordantly intruding gneiss; note reacted margin of dyke</t>
  </si>
  <si>
    <t>CG95-096.3.jpg</t>
  </si>
  <si>
    <t>CG95-096.4.jpg</t>
  </si>
  <si>
    <t>Gneissic host rock (leucogabbro?)</t>
  </si>
  <si>
    <t>VN92-197.07.jpg</t>
  </si>
  <si>
    <t>Amphibolite dykes/layers in granite. Geochron site</t>
  </si>
  <si>
    <t>VN92-197.10.jpg</t>
  </si>
  <si>
    <t>Thin amphibolite layer offset by late granitic veins</t>
  </si>
  <si>
    <t>VN92-197.09.jpg</t>
  </si>
  <si>
    <t>Late granite veins intruding amphibolite dykes and earlier granite</t>
  </si>
  <si>
    <t>VN92-197.13.jpg</t>
  </si>
  <si>
    <t>Outcrop view. Amphibolite dykes/layers in granite</t>
  </si>
  <si>
    <t>NN84-296.2.jpg</t>
  </si>
  <si>
    <t>NN84-296.1.jpg</t>
  </si>
  <si>
    <t>Garnet-bearing tonalitic/granodioritic gneiss</t>
  </si>
  <si>
    <t>CG07-196</t>
  </si>
  <si>
    <t>CG07-196.3.jpg</t>
  </si>
  <si>
    <t>Battle Harbour with Great Caribou Island in background, looking southwest</t>
  </si>
  <si>
    <t>CG08-046</t>
  </si>
  <si>
    <t>CG08-046.jpg</t>
  </si>
  <si>
    <t>End of Road 2007</t>
  </si>
  <si>
    <t>VN91-049</t>
  </si>
  <si>
    <t>VN91-049.2.jpg</t>
  </si>
  <si>
    <t>Biotite sillimanite rich schlieren in K-feldspar megacrystic granite</t>
  </si>
  <si>
    <t>VN85-495</t>
  </si>
  <si>
    <t>VN85-495.1.jpg</t>
  </si>
  <si>
    <t>VN85-495.3.jpg</t>
  </si>
  <si>
    <t>Complexly folded calc-silicate rock</t>
  </si>
  <si>
    <t>VN93-048.1.jpg</t>
  </si>
  <si>
    <t>VN93-048.4.jpg</t>
  </si>
  <si>
    <t>Amphibolite intruded by massive to weakly foliated granite</t>
  </si>
  <si>
    <t>VN93-048.5.jpg</t>
  </si>
  <si>
    <t>Amphibolite intruded by massive granite</t>
  </si>
  <si>
    <t>VN93-048.6.jpg</t>
  </si>
  <si>
    <t>Granodiorite gneiss truncated by massive granite</t>
  </si>
  <si>
    <t>CG81-366</t>
  </si>
  <si>
    <t>CG81-366.jpg</t>
  </si>
  <si>
    <t>Diorite/amphibolite migmatized with leucodiorite leucosome</t>
  </si>
  <si>
    <t>CG81-370</t>
  </si>
  <si>
    <t>CG81-370.jpg</t>
  </si>
  <si>
    <t>Decaying boat</t>
  </si>
  <si>
    <t>CG81-378</t>
  </si>
  <si>
    <t>CG81-378.2.jpg</t>
  </si>
  <si>
    <t>Dogs and CG 2 (location inexact)</t>
  </si>
  <si>
    <t>CG81-378.1.jpg</t>
  </si>
  <si>
    <t>Dogs and CG 1 (location inexact)</t>
  </si>
  <si>
    <t>CG79-799.1.jpg</t>
  </si>
  <si>
    <t>Partial melting in K-rich zone in rocks of possible metasedimentary origin</t>
  </si>
  <si>
    <t>CG79-800</t>
  </si>
  <si>
    <t>CG79-800.jpg</t>
  </si>
  <si>
    <t>CG87-489</t>
  </si>
  <si>
    <t>CG87-489.2.jpg</t>
  </si>
  <si>
    <t>Hornblende porphyroblasts in quartz-rich cross-bedded sandstone</t>
  </si>
  <si>
    <t>VN93-200</t>
  </si>
  <si>
    <t>VN93-200.1.jpg</t>
  </si>
  <si>
    <t>Apparent sinistral shearing along granitic vein</t>
  </si>
  <si>
    <t>VN95-077</t>
  </si>
  <si>
    <t>VN95-077.jpg</t>
  </si>
  <si>
    <t>Well-banded, migmatitic, garnet cordierite(?)-bearing metasedimentary gneiss</t>
  </si>
  <si>
    <t>GM85-548.2.jpg</t>
  </si>
  <si>
    <t>Biotite granodiorite gneiss intruded by syenite/granite; same locality as CG85-655</t>
  </si>
  <si>
    <t>CG99-352</t>
  </si>
  <si>
    <t>CG99-352.2.jpg</t>
  </si>
  <si>
    <t>Granite with mafic xenolithic material</t>
  </si>
  <si>
    <t>CG99-352.1.jpg</t>
  </si>
  <si>
    <t>Migmatitic amphibolite-dioritic mixture</t>
  </si>
  <si>
    <t>CG79-918</t>
  </si>
  <si>
    <t>CG79-918.2.jpg</t>
  </si>
  <si>
    <t>Leucosome in tonalite to granodiorite gneiss</t>
  </si>
  <si>
    <t>VN84-314</t>
  </si>
  <si>
    <t>VN84-314.jpg</t>
  </si>
  <si>
    <t>VN84-337</t>
  </si>
  <si>
    <t>VN84-337.jpg</t>
  </si>
  <si>
    <t>Banded amphibolite associated with metasedimentary gneiss</t>
  </si>
  <si>
    <t>DD91-131</t>
  </si>
  <si>
    <t>DD91-131.1.jpg</t>
  </si>
  <si>
    <t>DD91-131.2.jpg</t>
  </si>
  <si>
    <t>DD91-136</t>
  </si>
  <si>
    <t>DD91-136.2.jpg</t>
  </si>
  <si>
    <t>GF81-041</t>
  </si>
  <si>
    <t>GF81-041.jpg</t>
  </si>
  <si>
    <t>Earl Island quartz diorite intruded by mafic dyke then pegmatite</t>
  </si>
  <si>
    <t>CG03-185</t>
  </si>
  <si>
    <t>CG03-185.1.jpg</t>
  </si>
  <si>
    <t>Shear bands, left (north)-side-up</t>
  </si>
  <si>
    <t>CG03-185.2.jpg</t>
  </si>
  <si>
    <t>CG03-186</t>
  </si>
  <si>
    <t>CG03-186.jpg</t>
  </si>
  <si>
    <t>Asymmetric fold, left (north)-side-up</t>
  </si>
  <si>
    <t>CG03-189</t>
  </si>
  <si>
    <t>CG03-189.1.jpg</t>
  </si>
  <si>
    <t>CG03-189.2.jpg</t>
  </si>
  <si>
    <t>VN93-199</t>
  </si>
  <si>
    <t>VN93-199.2.jpg</t>
  </si>
  <si>
    <t>Pegmatite intruding strongly foliated granite</t>
  </si>
  <si>
    <t>VN93-199.1.jpg</t>
  </si>
  <si>
    <t>Tight M-folded foliation in strongly foliated granite</t>
  </si>
  <si>
    <t>NN80-012</t>
  </si>
  <si>
    <t>NN80-012.jpg</t>
  </si>
  <si>
    <t>Refolded folded amphibolite layer in granodioritic gneiss</t>
  </si>
  <si>
    <t>NN80-014</t>
  </si>
  <si>
    <t>NN80-014.jpg</t>
  </si>
  <si>
    <t>Discordant amphibolite dyke intruding granodioritic gneiss with amphibolite</t>
  </si>
  <si>
    <t>NN80-015</t>
  </si>
  <si>
    <t>NN80-015.jpg</t>
  </si>
  <si>
    <t>Ultramafic dyke breccia</t>
  </si>
  <si>
    <t>JS86-402</t>
  </si>
  <si>
    <t>JS86-402.jpg</t>
  </si>
  <si>
    <t>White pegmatite in amphibolite</t>
  </si>
  <si>
    <t>VN91-264.13.jpg</t>
  </si>
  <si>
    <t>VN91-264.14.jpg</t>
  </si>
  <si>
    <t>Rotated garnet in quartz diorite gneiss</t>
  </si>
  <si>
    <t>MC77-253.1.jpg</t>
  </si>
  <si>
    <t>CG81-314</t>
  </si>
  <si>
    <t>CG81-314.4.jpg</t>
  </si>
  <si>
    <t>CG81-314.1.jpg</t>
  </si>
  <si>
    <t>Mytilus shell beach</t>
  </si>
  <si>
    <t>CG81-314.3.jpg</t>
  </si>
  <si>
    <t>CG81-315</t>
  </si>
  <si>
    <t>CG81-315.jpg</t>
  </si>
  <si>
    <t>VN92-238.2.jpg</t>
  </si>
  <si>
    <t>CG87-421.1.jpg</t>
  </si>
  <si>
    <t>CG80-219.3.jpg</t>
  </si>
  <si>
    <t>Schistose phyllosilicate rock with discordant pegmatite</t>
  </si>
  <si>
    <t>CG80-224</t>
  </si>
  <si>
    <t>CG80-224.jpg</t>
  </si>
  <si>
    <t>CG80-229</t>
  </si>
  <si>
    <t>CG80-229.jpg</t>
  </si>
  <si>
    <t>Folded foliation in K-feldspar megacrystic granodiorite</t>
  </si>
  <si>
    <t>CG80-231</t>
  </si>
  <si>
    <t>CG80-231.jpg</t>
  </si>
  <si>
    <t>CG80-234</t>
  </si>
  <si>
    <t>CG80-234.jpg</t>
  </si>
  <si>
    <t>Foliated grey granodiorite</t>
  </si>
  <si>
    <t>CG80-235</t>
  </si>
  <si>
    <t>CG80-235.2.jpg</t>
  </si>
  <si>
    <t>Partially assimilated mafic enclaves in granodiorite - remnants of early mafic dyke</t>
  </si>
  <si>
    <t>CG80-235.1.jpg</t>
  </si>
  <si>
    <t>VN92-189.1.jpg</t>
  </si>
  <si>
    <t>Pegmatite intruding amphibolite</t>
  </si>
  <si>
    <t>VN92-189.2.jpg</t>
  </si>
  <si>
    <t>Amphibolite intruded by zoned pegmatite</t>
  </si>
  <si>
    <t>VN92-197.01.jpg</t>
  </si>
  <si>
    <t>Amphibolite and granite folded together</t>
  </si>
  <si>
    <t>VN92-197.11.jpg</t>
  </si>
  <si>
    <t>Well-banded granite with amphibolite layers in later granite</t>
  </si>
  <si>
    <t>VN92-197.14.jpg</t>
  </si>
  <si>
    <t>Plagioclase-phyric amphibolite in granite</t>
  </si>
  <si>
    <t>VN93-201</t>
  </si>
  <si>
    <t>VN93-201.jpg</t>
  </si>
  <si>
    <t>VO81-018.2.jpg</t>
  </si>
  <si>
    <t>Contact between monzonite (top) and tonalite</t>
  </si>
  <si>
    <t>VO81-018.3.jpg</t>
  </si>
  <si>
    <t>Recumbent isoclinal folds in tonalite/granodiorite gneiss</t>
  </si>
  <si>
    <t>VO81-018.6.jpg</t>
  </si>
  <si>
    <t>VO81-018.5.jpg</t>
  </si>
  <si>
    <t>VO81-018.4.jpg</t>
  </si>
  <si>
    <t>CG03-009</t>
  </si>
  <si>
    <t>CG03-009.jpg</t>
  </si>
  <si>
    <t>Mafic dyke intruding granite with pegmatite</t>
  </si>
  <si>
    <t>CG03-155</t>
  </si>
  <si>
    <t>CG03-155.1.jpg</t>
  </si>
  <si>
    <t>Shear bands</t>
  </si>
  <si>
    <t>CG03-155.2.jpg</t>
  </si>
  <si>
    <t>Rotated K-fs megacryst</t>
  </si>
  <si>
    <t>JS87-052</t>
  </si>
  <si>
    <t>JS87-052.jpg</t>
  </si>
  <si>
    <t>Pegmatitic segregations/melt pods in gneissic granite</t>
  </si>
  <si>
    <t>CG00-169</t>
  </si>
  <si>
    <t>CG00-169.6.jpg</t>
  </si>
  <si>
    <t>CG00-169.1.jpg</t>
  </si>
  <si>
    <t>Helicopter with DJ and LN</t>
  </si>
  <si>
    <t>CG00-169.2.jpg</t>
  </si>
  <si>
    <t>Granodioritic gneiss, geochronology sample site</t>
  </si>
  <si>
    <t>CG00-172</t>
  </si>
  <si>
    <t>CG00-172.jpg</t>
  </si>
  <si>
    <t>St. Augustin River valley from east</t>
  </si>
  <si>
    <t>CG00-177</t>
  </si>
  <si>
    <t>CG00-177.jpg</t>
  </si>
  <si>
    <t>CG00-229</t>
  </si>
  <si>
    <t>CG00-229.jpg</t>
  </si>
  <si>
    <t>Seriate to megacrystic K-feldspar granodiorite</t>
  </si>
  <si>
    <t>CG00-231</t>
  </si>
  <si>
    <t>CG00-231.jpg</t>
  </si>
  <si>
    <t>Quartz-rich metasediment with concordant granite material</t>
  </si>
  <si>
    <t>CG00-232</t>
  </si>
  <si>
    <t>CG00-232.jpg</t>
  </si>
  <si>
    <t>Streaky textured foliated biotite granite</t>
  </si>
  <si>
    <t>VN91-058</t>
  </si>
  <si>
    <t>VN91-058.1.jpg</t>
  </si>
  <si>
    <t>Migmatitic biotite sillimanite metasedimentary gneiss</t>
  </si>
  <si>
    <t>VN91-058.2.jpg</t>
  </si>
  <si>
    <t>Biotite muscovite garnet gneiss</t>
  </si>
  <si>
    <t>VN91-059.1.jpg</t>
  </si>
  <si>
    <t>Biotite granite intruding metasedimentary gneiss</t>
  </si>
  <si>
    <t>VN91-059.2.jpg</t>
  </si>
  <si>
    <t>Banding in migmatitic metasedimentary gneiss</t>
  </si>
  <si>
    <t>CG93-407</t>
  </si>
  <si>
    <t>CG93-407.1.jpg</t>
  </si>
  <si>
    <t>Well-layered clastic rocks of probable supracrustal origin</t>
  </si>
  <si>
    <t>CG93-407.2.jpg</t>
  </si>
  <si>
    <t>CG93-407.3.jpg</t>
  </si>
  <si>
    <t>Well-banded rocks of probable supracrustal origin</t>
  </si>
  <si>
    <t>CG93-407.5.jpg</t>
  </si>
  <si>
    <t>Garnet-epidote layer, detail</t>
  </si>
  <si>
    <t>CG93-408.1.jpg</t>
  </si>
  <si>
    <t>Granite intruded sequentially by mafic dyke, microgranite and pegmatite</t>
  </si>
  <si>
    <t>CG87-663.3.jpg</t>
  </si>
  <si>
    <t>CG95-249.2.jpg</t>
  </si>
  <si>
    <t>CG79-006</t>
  </si>
  <si>
    <t>CG79-006.jpg</t>
  </si>
  <si>
    <t>Net-veined mafic rock</t>
  </si>
  <si>
    <t>CG79-012</t>
  </si>
  <si>
    <t>CG79-012.2.jpg</t>
  </si>
  <si>
    <t>Budding marginal to mafic dyke</t>
  </si>
  <si>
    <t>CG79-012.1.jpg</t>
  </si>
  <si>
    <t>Brecciated mafic dyke with microgranite</t>
  </si>
  <si>
    <t>CG79-013</t>
  </si>
  <si>
    <t>CG79-013.jpg</t>
  </si>
  <si>
    <t>Syenitic rocks</t>
  </si>
  <si>
    <t>CG79-017</t>
  </si>
  <si>
    <t>CG79-017.jpg</t>
  </si>
  <si>
    <t>Monzodiorite with enclaves</t>
  </si>
  <si>
    <t>CG79-018.8.jpg</t>
  </si>
  <si>
    <t>Bunchberry</t>
  </si>
  <si>
    <t>CG79-018.7.jpg</t>
  </si>
  <si>
    <t>Stonecrop</t>
  </si>
  <si>
    <t>VO81-358</t>
  </si>
  <si>
    <t>VO81-358.jpg</t>
  </si>
  <si>
    <t>Folding in migmatitic diorite gneiss</t>
  </si>
  <si>
    <t>CG85-619</t>
  </si>
  <si>
    <t>CG85-619.2.jpg</t>
  </si>
  <si>
    <t>CG79-341</t>
  </si>
  <si>
    <t>CG79-341.1.jpg</t>
  </si>
  <si>
    <t>Hornblende megacrystic diorite to granodiorite</t>
  </si>
  <si>
    <t>CG79-341.2.jpg</t>
  </si>
  <si>
    <t>CG79-343</t>
  </si>
  <si>
    <t>CG79-343.2.jpg</t>
  </si>
  <si>
    <t>Stage Harbour boat and shoreline in Smokey area</t>
  </si>
  <si>
    <t>CG79-343.1.jpg</t>
  </si>
  <si>
    <t>Hornblende porphyroblasts in leucosome in tonalite/granodiorite</t>
  </si>
  <si>
    <t>CG87-441</t>
  </si>
  <si>
    <t>CG87-441.5.jpg</t>
  </si>
  <si>
    <t>Bateau Formation pebbly conglomerate</t>
  </si>
  <si>
    <t>CG87-444</t>
  </si>
  <si>
    <t>CG87-444.2.jpg</t>
  </si>
  <si>
    <t>Enclave in foliated granite</t>
  </si>
  <si>
    <t>CG87-444.1.jpg</t>
  </si>
  <si>
    <t>GM85-633.4.jpg</t>
  </si>
  <si>
    <t>GM85-635</t>
  </si>
  <si>
    <t>GM85-635.1.jpg</t>
  </si>
  <si>
    <t>Fine-grained, finely laminated hornblende-bearing diorite; mylonitic</t>
  </si>
  <si>
    <t>GM85-635.3.jpg</t>
  </si>
  <si>
    <t>Fine-grained, inequigranular biotite granodiorite, intruded by hornblende quartz diorite</t>
  </si>
  <si>
    <t>CG93-498</t>
  </si>
  <si>
    <t>CG93-498.jpg</t>
  </si>
  <si>
    <t>Stokers Hill late- to post-Grenvillian granite; geochron sample site</t>
  </si>
  <si>
    <t>NN80-099</t>
  </si>
  <si>
    <t>NN80-099.jpg</t>
  </si>
  <si>
    <t>Quartzite in pelitic metasedimentary gneiss</t>
  </si>
  <si>
    <t>JA92-025</t>
  </si>
  <si>
    <t>JA92-025.1.jpg</t>
  </si>
  <si>
    <t>K-feldspar megacrysts in fine- to medium-grained monzonite</t>
  </si>
  <si>
    <t>JA92-025.2.jpg</t>
  </si>
  <si>
    <t>Weak foliation in K-feldspar megacrystic monzonite</t>
  </si>
  <si>
    <t>JA92-027</t>
  </si>
  <si>
    <t>JA92-027.jpg</t>
  </si>
  <si>
    <t>Groundmass of small, cumulate plagioclase crystals</t>
  </si>
  <si>
    <t>CG00-169.4.jpg</t>
  </si>
  <si>
    <t>Well-banded granodioritic gneiss with amphibolite</t>
  </si>
  <si>
    <t>CG00-169.5.jpg</t>
  </si>
  <si>
    <t>CG03-021</t>
  </si>
  <si>
    <t>CG03-021.jpg</t>
  </si>
  <si>
    <t>Granodiorite gneiss with amphibolite and pegmatite</t>
  </si>
  <si>
    <t>CG03-022</t>
  </si>
  <si>
    <t>CG03-022.jpg</t>
  </si>
  <si>
    <t>River and trees surrounded by burnover</t>
  </si>
  <si>
    <t>CG03-024</t>
  </si>
  <si>
    <t>CG03-024.jpg</t>
  </si>
  <si>
    <t>Granodiorite gneiss and amphibolite; intruded by mafic dyke</t>
  </si>
  <si>
    <t>RG80-075</t>
  </si>
  <si>
    <t>RG80-075.jpg</t>
  </si>
  <si>
    <t>Dioritic to tonalitic gneiss showing extensive melting</t>
  </si>
  <si>
    <t>RG80-076</t>
  </si>
  <si>
    <t>RG80-076.jpg</t>
  </si>
  <si>
    <t>Agmatized amphibolite and granitic veins</t>
  </si>
  <si>
    <t>CG84-435.06.jpg</t>
  </si>
  <si>
    <t>Diatexitic metasedimentary gneiss with remnants of folded paleosome</t>
  </si>
  <si>
    <t>CG84-435.03.jpg</t>
  </si>
  <si>
    <t>CG84-435.04.jpg</t>
  </si>
  <si>
    <t>Folded diatexite</t>
  </si>
  <si>
    <t>AL78-090</t>
  </si>
  <si>
    <t>AL78-090.1.jpg</t>
  </si>
  <si>
    <t>Arkosic quartzite in Benedict-type granite</t>
  </si>
  <si>
    <t>CG84-438</t>
  </si>
  <si>
    <t>CG84-438.1.jpg</t>
  </si>
  <si>
    <t>CG84-438.2.jpg</t>
  </si>
  <si>
    <t>Earl Island quartz diorite: potential geochron. site</t>
  </si>
  <si>
    <t>CG84-439</t>
  </si>
  <si>
    <t>CG84-439.4.jpg</t>
  </si>
  <si>
    <t>Interbanded amphibolitic and granodioritic gneiss, mylonitic</t>
  </si>
  <si>
    <t>CG07-196.1.jpg</t>
  </si>
  <si>
    <t>CG07-196.2.jpg</t>
  </si>
  <si>
    <t>VN84-020</t>
  </si>
  <si>
    <t>VN84-020.1.jpg</t>
  </si>
  <si>
    <t>Metasedimentary gneiss and K-feldspar megacrystic granodiorite</t>
  </si>
  <si>
    <t>CG86-156.6.jpg</t>
  </si>
  <si>
    <t>Dextrally rotated K-feldspar porphyroclasts</t>
  </si>
  <si>
    <t>CG86-156.3.jpg</t>
  </si>
  <si>
    <t>Two generations of mafic dyke in K-feldspar megacrystic granodiorite</t>
  </si>
  <si>
    <t>CG86-156.5.jpg</t>
  </si>
  <si>
    <t>Mylonitized K-feldspar megacrystic granodiorite intruded by microgranite</t>
  </si>
  <si>
    <t>CG92-074.1E.jpg</t>
  </si>
  <si>
    <t>CG92-077</t>
  </si>
  <si>
    <t>CG92-077.jpg</t>
  </si>
  <si>
    <t>Kyfanan Lake recrystallized anorthosite</t>
  </si>
  <si>
    <t>CG92-080</t>
  </si>
  <si>
    <t>CG92-080.jpg</t>
  </si>
  <si>
    <t>Microgranite and pegmatite</t>
  </si>
  <si>
    <t>CG92-095</t>
  </si>
  <si>
    <t>CG92-095.jpg</t>
  </si>
  <si>
    <t>Granite, partially recrystallized</t>
  </si>
  <si>
    <t>CG92-112</t>
  </si>
  <si>
    <t>CG92-112.1.jpg</t>
  </si>
  <si>
    <t>NN84-073.4.jpg</t>
  </si>
  <si>
    <t>NN84-073.1.jpg</t>
  </si>
  <si>
    <t>GM85-517.2.jpg</t>
  </si>
  <si>
    <t>GM85-536.2.jpg</t>
  </si>
  <si>
    <t>GM85-536.3.jpg</t>
  </si>
  <si>
    <t>JS86-043</t>
  </si>
  <si>
    <t>JS86-043.jpg</t>
  </si>
  <si>
    <t>Pegmatite truncating fabric in gneissic granite</t>
  </si>
  <si>
    <t>MC77-012.2.jpg</t>
  </si>
  <si>
    <t>Earl Island quartz diorite</t>
  </si>
  <si>
    <t>CG92-161</t>
  </si>
  <si>
    <t>CG92-161.2.jpg</t>
  </si>
  <si>
    <t>Deformed mafic dykes in granite</t>
  </si>
  <si>
    <t>CG92-162</t>
  </si>
  <si>
    <t>CG92-162.jpg</t>
  </si>
  <si>
    <t>Folded mafic layer in granite</t>
  </si>
  <si>
    <t>NN84-061.3.jpg</t>
  </si>
  <si>
    <t>NN84-067.2.jpg</t>
  </si>
  <si>
    <t>Brittle-fault breccia with JS</t>
  </si>
  <si>
    <t>CG79-808</t>
  </si>
  <si>
    <t>CG79-808.2.jpg</t>
  </si>
  <si>
    <t>Mudflats on the north side of Groswater Bay</t>
  </si>
  <si>
    <t>CG79-808.1.jpg</t>
  </si>
  <si>
    <t>Severely deformed and refolded granodiorite</t>
  </si>
  <si>
    <t>CG79-809</t>
  </si>
  <si>
    <t>CG79-809.jpg</t>
  </si>
  <si>
    <t>Melting in tonalite/granodiorite gneiss with amphibolite</t>
  </si>
  <si>
    <t>CG79-814.1.jpg</t>
  </si>
  <si>
    <t>CG79-814.3.jpg</t>
  </si>
  <si>
    <t>CG93-306</t>
  </si>
  <si>
    <t>CG93-306.4.jpg</t>
  </si>
  <si>
    <t>Banded migmatized metasedimentary gneiss</t>
  </si>
  <si>
    <t>CG93-309</t>
  </si>
  <si>
    <t>CG93-309.jpg</t>
  </si>
  <si>
    <t>Massive hornblende biotite granite</t>
  </si>
  <si>
    <t>CG93-324</t>
  </si>
  <si>
    <t>CG93-324.1.jpg</t>
  </si>
  <si>
    <t>Mafic rock, probably part of a layered intrusion</t>
  </si>
  <si>
    <t>CG79-119.3.jpg</t>
  </si>
  <si>
    <t>Granodiorite intruded by granite, both deformed</t>
  </si>
  <si>
    <t>VO81-089.2.jpg</t>
  </si>
  <si>
    <t>CG07-007</t>
  </si>
  <si>
    <t>CG07-007.jpg</t>
  </si>
  <si>
    <t>Granite showing greenish to pink colour variation</t>
  </si>
  <si>
    <t>CG07-023.1.jpg</t>
  </si>
  <si>
    <t>Granodiorite gneiss showing isoclinal folds</t>
  </si>
  <si>
    <t>CG07-023.2.jpg</t>
  </si>
  <si>
    <t>Granodiorite gneiss showing recumbent folds</t>
  </si>
  <si>
    <t>CG07-023.3.jpg</t>
  </si>
  <si>
    <t>Granodiorite gneiss, straight layering</t>
  </si>
  <si>
    <t>CG07-023.4.jpg</t>
  </si>
  <si>
    <t>Granodiorite gneiss, tight folding</t>
  </si>
  <si>
    <t>CG86-523.3.jpg</t>
  </si>
  <si>
    <t>CG86-668.2.jpg</t>
  </si>
  <si>
    <t>CG86-668.1.jpg</t>
  </si>
  <si>
    <t>GM85-631.1.jpg</t>
  </si>
  <si>
    <t>AL78-136.2.jpg</t>
  </si>
  <si>
    <t>Adlavik gabbro veined by Benedict-type granite</t>
  </si>
  <si>
    <t>AL78-136.3.jpg</t>
  </si>
  <si>
    <t>Cataclastic fabric in Benedict-type granite adjacent to Adlavik gabbro</t>
  </si>
  <si>
    <t>VN93-562</t>
  </si>
  <si>
    <t>VN93-562.3.jpg</t>
  </si>
  <si>
    <t>VN95-014.2.jpg</t>
  </si>
  <si>
    <t>Migmatitic, banded metasedimentary gneiss; garnet and muscovite bearing</t>
  </si>
  <si>
    <t>VN95-014.3.jpg</t>
  </si>
  <si>
    <t>Garnet-rich zone in garnet-muscovite metasedimentary gneiss</t>
  </si>
  <si>
    <t>VN95-014.4.jpg</t>
  </si>
  <si>
    <t>VN95-014.5.jpg</t>
  </si>
  <si>
    <t>Orthopyroxene-bearing mafic dyke intruding garnet-muscovite metasedimentary gneiss</t>
  </si>
  <si>
    <t>CG85-202</t>
  </si>
  <si>
    <t>CG85-202.jpg</t>
  </si>
  <si>
    <t>Quartz phenocrysts/xenocrysts in monzonite</t>
  </si>
  <si>
    <t>CG85-214</t>
  </si>
  <si>
    <t>CG85-214.2.jpg</t>
  </si>
  <si>
    <t>CG85-214.1.jpg</t>
  </si>
  <si>
    <t>VN87-490</t>
  </si>
  <si>
    <t>VN87-490.2E.jpg</t>
  </si>
  <si>
    <t>89-01</t>
  </si>
  <si>
    <t>SEP 89T</t>
  </si>
  <si>
    <t>Mylonite zone at Pinware - Mealy Mountains terrane boundary</t>
  </si>
  <si>
    <t>VN87-506</t>
  </si>
  <si>
    <t>VN87-506.2E.jpg</t>
  </si>
  <si>
    <t>St Lewis Sound, Duck Island and Kyer Cove, looking southwest</t>
  </si>
  <si>
    <t>XX87-052</t>
  </si>
  <si>
    <t>XX87-052E.jpg</t>
  </si>
  <si>
    <t>Coastline from locality</t>
  </si>
  <si>
    <t>CG87-425.5E.jpg</t>
  </si>
  <si>
    <t>Fog in St. Peter's Bay 5</t>
  </si>
  <si>
    <t>CG79-307</t>
  </si>
  <si>
    <t>CG79-307.1.jpg</t>
  </si>
  <si>
    <t>Biotite granodiorite intruded by microgranite</t>
  </si>
  <si>
    <t>CG79-307.2.jpg</t>
  </si>
  <si>
    <t>CG80-349</t>
  </si>
  <si>
    <t>CG80-349.1.jpg</t>
  </si>
  <si>
    <t>Discordant and folded mafic dyke</t>
  </si>
  <si>
    <t>GM85-635.2.jpg</t>
  </si>
  <si>
    <t>GM85-635.4.jpg</t>
  </si>
  <si>
    <t>CG92-160</t>
  </si>
  <si>
    <t>CG92-160.1.jpg</t>
  </si>
  <si>
    <t>Recrystallized biotite granite with deformed mafic dykes</t>
  </si>
  <si>
    <t>CG92-161.1.jpg</t>
  </si>
  <si>
    <t>CG95-179</t>
  </si>
  <si>
    <t>CG95-179.1.jpg</t>
  </si>
  <si>
    <t>Layering in monzonite of Mealy Mountains Intrusive Suite</t>
  </si>
  <si>
    <t>CG95-179.2.jpg</t>
  </si>
  <si>
    <t>JA92-041</t>
  </si>
  <si>
    <t>JA92-041.3.jpg</t>
  </si>
  <si>
    <t>DF</t>
  </si>
  <si>
    <t>VN85-532</t>
  </si>
  <si>
    <t>VN85-532.1.jpg</t>
  </si>
  <si>
    <t>Glomero plagioclase-phyric mafic dyke intruding quartz diorite</t>
  </si>
  <si>
    <t>VN85-532.2.jpg</t>
  </si>
  <si>
    <t>CG86-018.09.jpg</t>
  </si>
  <si>
    <t>Fog in the Alexis River area</t>
  </si>
  <si>
    <t>CG86-018.10.jpg</t>
  </si>
  <si>
    <t>GM85-506</t>
  </si>
  <si>
    <t>GM85-506.5.jpg</t>
  </si>
  <si>
    <t>Banded green and black chert/amphibolite</t>
  </si>
  <si>
    <t>GM85-506.1.jpg</t>
  </si>
  <si>
    <t>GM85-506.2.jpg</t>
  </si>
  <si>
    <t>CG03-026</t>
  </si>
  <si>
    <t>CG03-026.jpg</t>
  </si>
  <si>
    <t>Granite gneiss and minor concordant amphibolite</t>
  </si>
  <si>
    <t>CG81-314.2.jpg</t>
  </si>
  <si>
    <t>Mytilus shell beach; from air</t>
  </si>
  <si>
    <t>CG81-314.5.jpg</t>
  </si>
  <si>
    <t>CG81-314.8.jpg</t>
  </si>
  <si>
    <t>VN93-200.2.jpg</t>
  </si>
  <si>
    <t>GM85-593</t>
  </si>
  <si>
    <t>GM85-593.2.jpg</t>
  </si>
  <si>
    <t>Mylonite zone involving hornblende quartz diorite and syenite/granite</t>
  </si>
  <si>
    <t>GM85-595</t>
  </si>
  <si>
    <t>GM85-595.2.jpg</t>
  </si>
  <si>
    <t>Black, fissile zone in quartz diorite</t>
  </si>
  <si>
    <t>GM85-595.1.jpg</t>
  </si>
  <si>
    <t>GM85-597</t>
  </si>
  <si>
    <t>GM85-597.2.jpg</t>
  </si>
  <si>
    <t>GM85-597.1.jpg</t>
  </si>
  <si>
    <t>CG95-185</t>
  </si>
  <si>
    <t>CG95-185.2.jpg</t>
  </si>
  <si>
    <t>Mafic enclave in monzogabbronorite of Mealy Mountains Intrusive Suite</t>
  </si>
  <si>
    <t>CG95-185.1.jpg</t>
  </si>
  <si>
    <t>CG95-187</t>
  </si>
  <si>
    <t>CG95-187.1.jpg</t>
  </si>
  <si>
    <t>Screens of fine-grained granulite gneiss at margin of Mealy Mountains Intrusive suite</t>
  </si>
  <si>
    <t>CG95-187.2.jpg</t>
  </si>
  <si>
    <t>CG95-197</t>
  </si>
  <si>
    <t>CG95-197.1.jpg</t>
  </si>
  <si>
    <t>Foliated monzonite in Mealy Mountains Intrusive Suite</t>
  </si>
  <si>
    <t>HP92-082.1.jpg</t>
  </si>
  <si>
    <t>Granitoid rock with folded foliation and axial planar veins</t>
  </si>
  <si>
    <t>SN86-200</t>
  </si>
  <si>
    <t>SN86-200cropped.jpg</t>
  </si>
  <si>
    <t>Boudinaged granitic dyke with quartz-filled neck in mylonite</t>
  </si>
  <si>
    <t>SN86-214.2cropped.jpg</t>
  </si>
  <si>
    <t>SN86-225.2cropped.jpg</t>
  </si>
  <si>
    <t>SN86-288</t>
  </si>
  <si>
    <t>SN86-288E.jpg</t>
  </si>
  <si>
    <t>Quartz vein with MH</t>
  </si>
  <si>
    <t>SN86-310.1E.jpg</t>
  </si>
  <si>
    <t>Contact between K-feldspar megacrystic granodiorite and amphibolite</t>
  </si>
  <si>
    <t>SN86-319.1E.jpg</t>
  </si>
  <si>
    <t>Metasedimentary gneiss with granitic dykes</t>
  </si>
  <si>
    <t>SN86-342</t>
  </si>
  <si>
    <t>SN86-342E.jpg</t>
  </si>
  <si>
    <t>Granitic rock intruding diorite</t>
  </si>
  <si>
    <t>SN86-345.3E.jpg</t>
  </si>
  <si>
    <t>SP85-133.3.jpg</t>
  </si>
  <si>
    <t>Icebergs in the Spotted Island area 3</t>
  </si>
  <si>
    <t>CG98-205</t>
  </si>
  <si>
    <t>CG98-205.jpg</t>
  </si>
  <si>
    <t>Coarse-grained, massive late- to post-Grenvillian granite</t>
  </si>
  <si>
    <t>CG98-206</t>
  </si>
  <si>
    <t>CG98-206.jpg</t>
  </si>
  <si>
    <t>CG99-305</t>
  </si>
  <si>
    <t>CG99-305.jpg</t>
  </si>
  <si>
    <t>Granite and amphibolite (dyke?)</t>
  </si>
  <si>
    <t>CG99-306</t>
  </si>
  <si>
    <t>CG99-306.jpg</t>
  </si>
  <si>
    <t>Foliated to gneissic biotite granite</t>
  </si>
  <si>
    <t>CG99-308.1.jpg</t>
  </si>
  <si>
    <t>VN93-219.2.jpg</t>
  </si>
  <si>
    <t>Enclaves of megacrystic granite in coarse-grained granite</t>
  </si>
  <si>
    <t>VN93-219.1.jpg</t>
  </si>
  <si>
    <t>Granite enclave in strongly foliated megacrystic granite</t>
  </si>
  <si>
    <t>VN93-220</t>
  </si>
  <si>
    <t>VN93-220.1.jpg</t>
  </si>
  <si>
    <t>Diffuse banding in rock of possible felsic volcanic origin</t>
  </si>
  <si>
    <t>VN93-220.2.jpg</t>
  </si>
  <si>
    <t>Discordant granodioritic dyke in granite</t>
  </si>
  <si>
    <t>VN93-222</t>
  </si>
  <si>
    <t>VN93-222.1.jpg</t>
  </si>
  <si>
    <t>Diffusely megacrystic foliated granite</t>
  </si>
  <si>
    <t>VN95-204.1.jpg</t>
  </si>
  <si>
    <t>CG82-028.2.jpg</t>
  </si>
  <si>
    <t>Mafic dykes discordantly intruding gneissosity</t>
  </si>
  <si>
    <t>CG99-347</t>
  </si>
  <si>
    <t>CG99-347.jpg</t>
  </si>
  <si>
    <t>Leucogabbronorite now metamorphosed to dioritic rock; Pierre Cote and Steve Power</t>
  </si>
  <si>
    <t>VN93-052.2.jpg</t>
  </si>
  <si>
    <t>VN93-061</t>
  </si>
  <si>
    <t>VN93-061.jpg</t>
  </si>
  <si>
    <t>Z-fold in psammitic gneiss</t>
  </si>
  <si>
    <t>CG84-187.1.jpg</t>
  </si>
  <si>
    <t>Mica quarry; samples of muscovite and biotite</t>
  </si>
  <si>
    <t>CG99-352.3.jpg</t>
  </si>
  <si>
    <t>Granite with mafic gneissic material</t>
  </si>
  <si>
    <t>CG99-364</t>
  </si>
  <si>
    <t>CG99-364.jpg</t>
  </si>
  <si>
    <t>K-feldspar megacrystic granitoid</t>
  </si>
  <si>
    <t>CG87-431.4.jpg</t>
  </si>
  <si>
    <t>CG87-431.5.jpg</t>
  </si>
  <si>
    <t>CG87-431.6.jpg</t>
  </si>
  <si>
    <t>Well-banded quartzofeldspathic metasedimentary rocks; intruded by pegmatite</t>
  </si>
  <si>
    <t>GM85-538.4.jpg</t>
  </si>
  <si>
    <t>VN91-113.2.jpg</t>
  </si>
  <si>
    <t>Rafts of gneiss in later biotite granite</t>
  </si>
  <si>
    <t>VN91-114.1.jpg</t>
  </si>
  <si>
    <t>VN92-161.9E.jpg</t>
  </si>
  <si>
    <t>Hills in southwest part of map region (wetland is 1.5 km S of VN92-161, looking S)</t>
  </si>
  <si>
    <t>CG93-027.1cropped.jpg</t>
  </si>
  <si>
    <t>CG93-057</t>
  </si>
  <si>
    <t>CG93-057cropped.jpg</t>
  </si>
  <si>
    <t>Anastomosing mafic dykes in coarse-grained granite</t>
  </si>
  <si>
    <t>CG93-062</t>
  </si>
  <si>
    <t>CG93-062cropped.jpg</t>
  </si>
  <si>
    <t>Coarse- and fine-grained Lower Pinware River alkali-feldspar syenite</t>
  </si>
  <si>
    <t>CG93-071</t>
  </si>
  <si>
    <t>CG93-071cropped.jpg</t>
  </si>
  <si>
    <t>Discordant granitic dyke containing abundant mafic and other enclaves</t>
  </si>
  <si>
    <t>CG93-098</t>
  </si>
  <si>
    <t>CG93-098cropped.jpg</t>
  </si>
  <si>
    <t>Late(?) alkali-feldspar syenite</t>
  </si>
  <si>
    <t>CG93-119.1cropped.jpg</t>
  </si>
  <si>
    <t>Layering/deformation in K-feldspar-rich syenite</t>
  </si>
  <si>
    <t>CG93-169</t>
  </si>
  <si>
    <t>CG93-169cropped.jpg</t>
  </si>
  <si>
    <t>Composite mafic dykes, subsequently faulted and injected by pegmatite</t>
  </si>
  <si>
    <t>CG84-440</t>
  </si>
  <si>
    <t>CG84-440.jpg</t>
  </si>
  <si>
    <t>Granodiorite intruded by two phases of mafic dyke</t>
  </si>
  <si>
    <t>CG84-442.6.jpg</t>
  </si>
  <si>
    <t>Dextral transposition from shear bands</t>
  </si>
  <si>
    <t>CG84-442.5.jpg</t>
  </si>
  <si>
    <t>Dextral transposition from amphibolite enclaves</t>
  </si>
  <si>
    <t>RG80-073</t>
  </si>
  <si>
    <t>RG80-073.1.jpg</t>
  </si>
  <si>
    <t>Tonalite to granodiorite gneiss and amphibolite</t>
  </si>
  <si>
    <t>RG80-073.2.jpg</t>
  </si>
  <si>
    <t>CG03-173</t>
  </si>
  <si>
    <t>CG03-173.jpg</t>
  </si>
  <si>
    <t>Texture in metagabbro / diorite</t>
  </si>
  <si>
    <t>CG03-176</t>
  </si>
  <si>
    <t>CG03-176.1.jpg</t>
  </si>
  <si>
    <t>Displaced granitic vein</t>
  </si>
  <si>
    <t>CG03-176.2.jpg</t>
  </si>
  <si>
    <t>MN86-356</t>
  </si>
  <si>
    <t>MN86-356.jpg</t>
  </si>
  <si>
    <t>Biotite quartz diorite pod truncating gabbro</t>
  </si>
  <si>
    <t>MN86-357</t>
  </si>
  <si>
    <t>MN86-357.jpg</t>
  </si>
  <si>
    <t>Hornblendite layer truncating metagabbro</t>
  </si>
  <si>
    <t>AL78-138.1.jpg</t>
  </si>
  <si>
    <t>Pegmatitic (appinitic) phase of Adlavik gabbro</t>
  </si>
  <si>
    <t>CG93-175</t>
  </si>
  <si>
    <t>CG93-175.1.jpg</t>
  </si>
  <si>
    <t>Boudinaged pegmatite within amphibolite in granite</t>
  </si>
  <si>
    <t>SN86-309</t>
  </si>
  <si>
    <t>SN86-309.2.jpg</t>
  </si>
  <si>
    <t>Contact between K-feldspar megacrystic granodiorite and pink granite</t>
  </si>
  <si>
    <t>SN86-310.2.jpg</t>
  </si>
  <si>
    <t>CG84-442.3.jpg</t>
  </si>
  <si>
    <t>Z-fold  in mylonite</t>
  </si>
  <si>
    <t>CG84-442.1.jpg</t>
  </si>
  <si>
    <t>Dextral? transposition from enclave</t>
  </si>
  <si>
    <t>RG80-133.11.jpg</t>
  </si>
  <si>
    <t>RG80-133.04.jpg</t>
  </si>
  <si>
    <t>RG80-133.06.jpg</t>
  </si>
  <si>
    <t>VN91-441</t>
  </si>
  <si>
    <t>VN91-441.jpg</t>
  </si>
  <si>
    <t>K-feldspar megacrystic monzonite/ quartz monzonite</t>
  </si>
  <si>
    <t>CG83-349</t>
  </si>
  <si>
    <t>CG83-349.jpg</t>
  </si>
  <si>
    <t>Granulite facies mylonite with later brittle faults</t>
  </si>
  <si>
    <t>CG83-376</t>
  </si>
  <si>
    <t>CG83-376.2.jpg</t>
  </si>
  <si>
    <t>Mylonitic anorthositic granulite</t>
  </si>
  <si>
    <t>CG83-411</t>
  </si>
  <si>
    <t>CG83-411.2.jpg</t>
  </si>
  <si>
    <t>Interbedded calc-silicate and quartzite</t>
  </si>
  <si>
    <t>NN80-175</t>
  </si>
  <si>
    <t>NN80-175.1.jpg</t>
  </si>
  <si>
    <t>Pegmatite discordantly intruding agmatized amphibolite, and MT</t>
  </si>
  <si>
    <t>CG81-175.03.jpg</t>
  </si>
  <si>
    <t>CG81-175.02.jpg</t>
  </si>
  <si>
    <t>CG81-175.06.jpg</t>
  </si>
  <si>
    <t>Fresh diabase dyke - Devonian (under water)</t>
  </si>
  <si>
    <t>CG81-175.05.jpg</t>
  </si>
  <si>
    <t>Fault breccia</t>
  </si>
  <si>
    <t>CG81-175.07.jpg</t>
  </si>
  <si>
    <t>CG07-188.2.jpg</t>
  </si>
  <si>
    <t>Boudinaged pegmatite</t>
  </si>
  <si>
    <t>CG07-191</t>
  </si>
  <si>
    <t>CG07-191.1.jpg</t>
  </si>
  <si>
    <t>Calc-silicate rock containing carbonate</t>
  </si>
  <si>
    <t>CG07-191.2.jpg</t>
  </si>
  <si>
    <t>Calc-silicate rock containing amphibole</t>
  </si>
  <si>
    <t>CG07-191.3.jpg</t>
  </si>
  <si>
    <t>Calc-silicate rock, mottled (clinopyroxene)</t>
  </si>
  <si>
    <t>CG07-193</t>
  </si>
  <si>
    <t>CG07-193.jpg</t>
  </si>
  <si>
    <t>Calc-silicate rock, tight fold</t>
  </si>
  <si>
    <t>MC77-014</t>
  </si>
  <si>
    <t>MC77-014.jpg</t>
  </si>
  <si>
    <t>CG80-102.22.jpg</t>
  </si>
  <si>
    <t>Rigolet 7</t>
  </si>
  <si>
    <t>CG79-337</t>
  </si>
  <si>
    <t>CG79-337.1.jpg</t>
  </si>
  <si>
    <t>Biotite tonalite/granodiorite straight gneiss</t>
  </si>
  <si>
    <t>CG79-337.2.jpg</t>
  </si>
  <si>
    <t>Isoclinally folded quartz-feldspar veins</t>
  </si>
  <si>
    <t>CG79-339</t>
  </si>
  <si>
    <t>CG79-339.jpg</t>
  </si>
  <si>
    <t>Well-banded tonalitic and granodioritic gneiss intruded by mafic dyke</t>
  </si>
  <si>
    <t>CG79-340.3.jpg</t>
  </si>
  <si>
    <t>Nebulitic tonalitic/granodioritic gneiss</t>
  </si>
  <si>
    <t>CG85-652</t>
  </si>
  <si>
    <t>CG85-652.1.jpg</t>
  </si>
  <si>
    <t>Quartz veins in granite; gabbro in background</t>
  </si>
  <si>
    <t>CG85-654</t>
  </si>
  <si>
    <t>CG85-654.1.jpg</t>
  </si>
  <si>
    <t>Biotite tonalite/granodiorite gneiss intruded by pink granite; geochron. sample site</t>
  </si>
  <si>
    <t>CG85-654.2.jpg</t>
  </si>
  <si>
    <t>Biotite tonalite/granodiorite gneiss</t>
  </si>
  <si>
    <t>LC85-002.1.jpg</t>
  </si>
  <si>
    <t>MC77-150.3.jpg</t>
  </si>
  <si>
    <t>Concordant mafic layer in foliated granitoid rock</t>
  </si>
  <si>
    <t>CG86-072.1.jpg</t>
  </si>
  <si>
    <t>Dioritic rock (metaleuconorite?) with K-feldspar megacrysts and garnet</t>
  </si>
  <si>
    <t>CG87-478.09.jpg</t>
  </si>
  <si>
    <t>Amygdules in basal part of Lighthouse Cove Formation</t>
  </si>
  <si>
    <t>CG87-478.10.jpg</t>
  </si>
  <si>
    <t>Lighthouse Cove Formation</t>
  </si>
  <si>
    <t>CG87-478.01.jpg</t>
  </si>
  <si>
    <t>Pegmatite truncated at unconformity with overlying Lighthouse Cove Formation (duplicate of 87-07.6)</t>
  </si>
  <si>
    <t>CG83-127.2.jpg</t>
  </si>
  <si>
    <t>Spruce grouse 2</t>
  </si>
  <si>
    <t>CG86-018.08.jpg</t>
  </si>
  <si>
    <t>VN93-046.3.jpg</t>
  </si>
  <si>
    <t>Coarse-grained hornblende in granite</t>
  </si>
  <si>
    <t>VN93-046.1.jpg</t>
  </si>
  <si>
    <t>Texture in biotite granite</t>
  </si>
  <si>
    <t>VN93-048.2.jpg</t>
  </si>
  <si>
    <t>Gradation from granitic gneiss to foliated granite</t>
  </si>
  <si>
    <t>VN95-192</t>
  </si>
  <si>
    <t>VN95-192.jpg</t>
  </si>
  <si>
    <t>VN95-203</t>
  </si>
  <si>
    <t>VN95-203.jpg</t>
  </si>
  <si>
    <t>JA92-126.2.jpg</t>
  </si>
  <si>
    <t>SN86-247.2.jpg</t>
  </si>
  <si>
    <t>Granitic vein intruding mylonitized K-feldspar megacrystic granodiorite</t>
  </si>
  <si>
    <t>SN86-259</t>
  </si>
  <si>
    <t>SN86-259.1.jpg</t>
  </si>
  <si>
    <t>SN86-259.2.jpg</t>
  </si>
  <si>
    <t>CG86-018.07.jpg</t>
  </si>
  <si>
    <t>Dextral displacement along mylonite zone in Alexis River anorthosite</t>
  </si>
  <si>
    <t>NN84-381.4.jpg</t>
  </si>
  <si>
    <t>GM85-663</t>
  </si>
  <si>
    <t>GM85-663.jpg</t>
  </si>
  <si>
    <t>Stretched K-feldspar megacrystic diorite</t>
  </si>
  <si>
    <t>GM85-672.2.jpg</t>
  </si>
  <si>
    <t>NN84-141</t>
  </si>
  <si>
    <t>NN84-141.1.jpg</t>
  </si>
  <si>
    <t>Banded amphibolite and tonalitic (anorthositic?) migmatite</t>
  </si>
  <si>
    <t>NN84-141.2.jpg</t>
  </si>
  <si>
    <t>NN84-144</t>
  </si>
  <si>
    <t>NN84-144.jpg</t>
  </si>
  <si>
    <t>VN92-037</t>
  </si>
  <si>
    <t>VN92-037.2.jpg</t>
  </si>
  <si>
    <t>Texture of amphibolite</t>
  </si>
  <si>
    <t>NN84-293</t>
  </si>
  <si>
    <t>NN84-293.4.jpg</t>
  </si>
  <si>
    <t>Melanocratic layer in Alexis River anorthosite</t>
  </si>
  <si>
    <t>VN91-370</t>
  </si>
  <si>
    <t>VN91-370.1.jpg</t>
  </si>
  <si>
    <t>Garnetiferous granite intruding sillimanite-bearing gneiss</t>
  </si>
  <si>
    <t>VN91-370.2.jpg</t>
  </si>
  <si>
    <t>Garnet-rich layer in metasedimentary gneiss</t>
  </si>
  <si>
    <t>VN91-372</t>
  </si>
  <si>
    <t>VN91-372.4.jpg</t>
  </si>
  <si>
    <t>Amphibolite pod in granite vein intruding K-feldspar megacrystic granite</t>
  </si>
  <si>
    <t>CG85-541.2.jpg</t>
  </si>
  <si>
    <t>Layering in massive gabbro</t>
  </si>
  <si>
    <t>CG87-488.06.jpg</t>
  </si>
  <si>
    <t>Calc-silicate metasedimentary gneiss and discordant pegmatite</t>
  </si>
  <si>
    <t>CG87-488.02.jpg</t>
  </si>
  <si>
    <t>CG03-052</t>
  </si>
  <si>
    <t>CG03-052.2.jpg</t>
  </si>
  <si>
    <t>Pelitic gneiss with chalcopyrite in granitic leucosome</t>
  </si>
  <si>
    <t>CG03-056</t>
  </si>
  <si>
    <t>CG03-056.jpg</t>
  </si>
  <si>
    <t>Amphibolite - granite contact</t>
  </si>
  <si>
    <t>CG03-059</t>
  </si>
  <si>
    <t>CG03-059.jpg</t>
  </si>
  <si>
    <t>Diorite, quartz, strongly foliated</t>
  </si>
  <si>
    <t>CG03-060</t>
  </si>
  <si>
    <t>CG03-060.1.jpg</t>
  </si>
  <si>
    <t>Granite with pegmatitic veins and quartz pod</t>
  </si>
  <si>
    <t>VN92-161.4.jpg</t>
  </si>
  <si>
    <t>Foliated granite near contact with Long Range dyke</t>
  </si>
  <si>
    <t>VN92-164</t>
  </si>
  <si>
    <t>VN92-164.2.jpg</t>
  </si>
  <si>
    <t>TvN wading across river</t>
  </si>
  <si>
    <t>VN92-164.1.jpg</t>
  </si>
  <si>
    <t>CG03-092</t>
  </si>
  <si>
    <t>CG03-092.jpg</t>
  </si>
  <si>
    <t>Granite, heterogeneous showing flow banding</t>
  </si>
  <si>
    <t>CG03-097.1.jpg</t>
  </si>
  <si>
    <t>Calc-silicate rocks and pegmatite vein</t>
  </si>
  <si>
    <t>CG80-062</t>
  </si>
  <si>
    <t>CG80-062.1.jpg</t>
  </si>
  <si>
    <t>Intrafolial isoclinal fold in mylonitic tonalite/granodiorite gneiss</t>
  </si>
  <si>
    <t>CG80-062.2.jpg</t>
  </si>
  <si>
    <t>Tight to isoclinal folds in tonalite to granodiorite gneiss with amphibolite</t>
  </si>
  <si>
    <t>CG80-067</t>
  </si>
  <si>
    <t>CG80-067.jpg</t>
  </si>
  <si>
    <t>CG80-069</t>
  </si>
  <si>
    <t>CG80-069.jpg</t>
  </si>
  <si>
    <t>Granodioritic gneiss with concordant amphibolite bands</t>
  </si>
  <si>
    <t>CG80-071</t>
  </si>
  <si>
    <t>CG80-071.jpg</t>
  </si>
  <si>
    <t>VO92-024</t>
  </si>
  <si>
    <t>VO92-024.9.jpg</t>
  </si>
  <si>
    <t>Banded migmatized amphibolite</t>
  </si>
  <si>
    <t>VN93-652</t>
  </si>
  <si>
    <t>VN93-652.1.jpg</t>
  </si>
  <si>
    <t>Asymmetric K-feldspar megacrysts in granodiorite-granite</t>
  </si>
  <si>
    <t>VN93-652.2.jpg</t>
  </si>
  <si>
    <t>K-feldspar megacrystic granodiorite-granite</t>
  </si>
  <si>
    <t>VN93-652.4.jpg</t>
  </si>
  <si>
    <t>VN93-652.5.jpg</t>
  </si>
  <si>
    <t>VN93-652.3.jpg</t>
  </si>
  <si>
    <t>VN93-653</t>
  </si>
  <si>
    <t>VN93-653.jpg</t>
  </si>
  <si>
    <t>Megacrystic and mylonitized felsic rocks of probable supracrustal origin</t>
  </si>
  <si>
    <t>VN93-655</t>
  </si>
  <si>
    <t>VN93-655.2.jpg</t>
  </si>
  <si>
    <t>VN93-655.1.jpg</t>
  </si>
  <si>
    <t>Mylonite zone in K-feldspar megacrystic granite</t>
  </si>
  <si>
    <t>VN93-656</t>
  </si>
  <si>
    <t>VN93-656.2.jpg</t>
  </si>
  <si>
    <t>Discordant, fine-grained mafic dyke intruding K-feldspar megacrystic granite</t>
  </si>
  <si>
    <t>CG83-127.1.jpg</t>
  </si>
  <si>
    <t>Spruce grouse 1</t>
  </si>
  <si>
    <t>CG83-129</t>
  </si>
  <si>
    <t>CG83-129.jpg</t>
  </si>
  <si>
    <t>Amphibolitic and tonalitic gneiss and brittle fracturing related to Double Mer graben marginal fault</t>
  </si>
  <si>
    <t>CG83-185.1.jpg</t>
  </si>
  <si>
    <t>Partridge Point Brook above Double Mer fault scarp</t>
  </si>
  <si>
    <t>CG83-185.2.jpg</t>
  </si>
  <si>
    <t>CG83-185.3.jpg</t>
  </si>
  <si>
    <t>CG80-102.06.jpg</t>
  </si>
  <si>
    <t>MT digging drainage trench around tent during rain storm 1</t>
  </si>
  <si>
    <t>CG84-437.1.jpg</t>
  </si>
  <si>
    <t>CG80-354.2.jpg</t>
  </si>
  <si>
    <t>Caplin on shoreline</t>
  </si>
  <si>
    <t>CG87-445.6.jpg</t>
  </si>
  <si>
    <t>CG87-445.3.jpg</t>
  </si>
  <si>
    <t>Magnetite-forming reaction in enclave in Cape Charles granite</t>
  </si>
  <si>
    <t>VN91-381</t>
  </si>
  <si>
    <t>VN91-381.jpg</t>
  </si>
  <si>
    <t>Medium- to coarse-grained granite</t>
  </si>
  <si>
    <t>VN91-383</t>
  </si>
  <si>
    <t>VN91-383.jpg</t>
  </si>
  <si>
    <t>Garnet-bearing granodiorite</t>
  </si>
  <si>
    <t>VN91-388.3.jpg</t>
  </si>
  <si>
    <t>MC77-046</t>
  </si>
  <si>
    <t>MC77-046.1.jpg</t>
  </si>
  <si>
    <t>Earl Island quartz diorite with granitic veins</t>
  </si>
  <si>
    <t>MC77-046.2.jpg</t>
  </si>
  <si>
    <t>Folded pegmatite in quartz diorite</t>
  </si>
  <si>
    <t>MC77-048</t>
  </si>
  <si>
    <t>MC77-048.jpg</t>
  </si>
  <si>
    <t>VN91-265.3.jpg</t>
  </si>
  <si>
    <t>Large garnet in leucosome in metasedimentary gneiss</t>
  </si>
  <si>
    <t>VN91-265.4.jpg</t>
  </si>
  <si>
    <t>Intercalated pelitic and psammitic metasedimentary gneiss</t>
  </si>
  <si>
    <t>VN91-265.1.jpg</t>
  </si>
  <si>
    <t>Straight/mylonitic metasedimentary gneiss</t>
  </si>
  <si>
    <t>NN80-017</t>
  </si>
  <si>
    <t>NN80-017.jpg</t>
  </si>
  <si>
    <t>Discordant amphibolite dyke intruding granodioritic gneiss</t>
  </si>
  <si>
    <t>AD79-224.1.jpg</t>
  </si>
  <si>
    <t>Deformed fine-grained mafic rock</t>
  </si>
  <si>
    <t>AD79-228</t>
  </si>
  <si>
    <t>AD79-228.2.jpg</t>
  </si>
  <si>
    <t>AD79-228.1.jpg</t>
  </si>
  <si>
    <t>RG80-074</t>
  </si>
  <si>
    <t>RG80-074.jpg</t>
  </si>
  <si>
    <t>CG81-001.04.jpg</t>
  </si>
  <si>
    <t>Sir Robert Bond in Cartwright 2</t>
  </si>
  <si>
    <t>CG81-001.03.jpg</t>
  </si>
  <si>
    <t>Sir Robert Bond in Cartwright 1</t>
  </si>
  <si>
    <t>CG81-001.02.jpg</t>
  </si>
  <si>
    <t>Memorial to George Cartwright 2</t>
  </si>
  <si>
    <t>CG81-001.01.jpg</t>
  </si>
  <si>
    <t>Memorial to George Cartwright 1</t>
  </si>
  <si>
    <t>CG81-001.26.jpg</t>
  </si>
  <si>
    <t>Cartwright 7</t>
  </si>
  <si>
    <t>CG81-001.25.jpg</t>
  </si>
  <si>
    <t>Cartwright 6</t>
  </si>
  <si>
    <t>CG81-002</t>
  </si>
  <si>
    <t>CG81-002.jpg</t>
  </si>
  <si>
    <t>Garnetiferous K-feldspar megacrystic granodiorite</t>
  </si>
  <si>
    <t>CG81-003</t>
  </si>
  <si>
    <t>CG81-003.jpg</t>
  </si>
  <si>
    <t>Contact between K-feldspar megacrystic granodiorite and quartz diorite</t>
  </si>
  <si>
    <t>NN80-100.1.jpg</t>
  </si>
  <si>
    <t>Calc-silicate layers (recessively weathering) in psammitic gneiss</t>
  </si>
  <si>
    <t>NN80-100.4.jpg</t>
  </si>
  <si>
    <t>Amphibolite in fissile biotite-rich sheets</t>
  </si>
  <si>
    <t>NN80-100.2.jpg</t>
  </si>
  <si>
    <t>Quartzite (in metasedimentary gneiss sequence)</t>
  </si>
  <si>
    <t>NN80-167</t>
  </si>
  <si>
    <t>NN80-167.jpg</t>
  </si>
  <si>
    <t>Recrystallized leucosome in gneiss</t>
  </si>
  <si>
    <t>NN80-168</t>
  </si>
  <si>
    <t>NN80-168.jpg</t>
  </si>
  <si>
    <t>Fracture cleavage or jointing</t>
  </si>
  <si>
    <t>NN80-169</t>
  </si>
  <si>
    <t>NN80-169.2.jpg</t>
  </si>
  <si>
    <t>Deformed discordant amphibolite dyke intruding gneiss</t>
  </si>
  <si>
    <t>NN80-169.1.jpg</t>
  </si>
  <si>
    <t>CG80-004.2.jpg</t>
  </si>
  <si>
    <t>AL78-011.2.jpg</t>
  </si>
  <si>
    <t>Adlavik gabbro agmatized by granitic material</t>
  </si>
  <si>
    <t>AL78-015</t>
  </si>
  <si>
    <t>AL78-015.1.jpg</t>
  </si>
  <si>
    <t>Adlavik gabbro with angular diorite xenoliths</t>
  </si>
  <si>
    <t>AL78-016</t>
  </si>
  <si>
    <t>AL78-016.jpg</t>
  </si>
  <si>
    <t>Adlavik gabbro/diorite with anastomosing fine-grained mafic dyke</t>
  </si>
  <si>
    <t>AL78-018</t>
  </si>
  <si>
    <t>AL78-018.2.jpg</t>
  </si>
  <si>
    <t>Mafic xenolith, with feldspar porphyroblasts, in granite</t>
  </si>
  <si>
    <t>AL78-018.1.jpg</t>
  </si>
  <si>
    <t>Gabbro dyke intruding granite</t>
  </si>
  <si>
    <t>JS86-305</t>
  </si>
  <si>
    <t>JS86-305.jpg</t>
  </si>
  <si>
    <t>Sheared and folded metasedimentary gneiss</t>
  </si>
  <si>
    <t>JS86-320</t>
  </si>
  <si>
    <t>JS86-320.jpg</t>
  </si>
  <si>
    <t>JS86-338</t>
  </si>
  <si>
    <t>JS86-338.jpg</t>
  </si>
  <si>
    <t>Pink, massive granite</t>
  </si>
  <si>
    <t>JS87-041</t>
  </si>
  <si>
    <t>JS87-041.jpg</t>
  </si>
  <si>
    <t>JS87-044</t>
  </si>
  <si>
    <t>JS87-044.jpg</t>
  </si>
  <si>
    <t>Variable strain in seriate to K-feldspar megacrystic granitoid rock</t>
  </si>
  <si>
    <t>JS87-045</t>
  </si>
  <si>
    <t>JS87-045.jpg</t>
  </si>
  <si>
    <t>JS87-046</t>
  </si>
  <si>
    <t>JS87-046.jpg</t>
  </si>
  <si>
    <t>Boudinaged amphibolite in quartzofeldspathic gneiss</t>
  </si>
  <si>
    <t>JS87-047</t>
  </si>
  <si>
    <t>JS87-047.jpg</t>
  </si>
  <si>
    <t>Strongly deformed (K-feldspar megacrystic?) gneiss</t>
  </si>
  <si>
    <t>CG87-480</t>
  </si>
  <si>
    <t>CG87-480.2.jpg</t>
  </si>
  <si>
    <t>Bateau Formation conglomerate (duplicate)</t>
  </si>
  <si>
    <t>CG87-480.3.jpg</t>
  </si>
  <si>
    <t>Bateau Formation sandstone</t>
  </si>
  <si>
    <t>CG87-480.4.jpg</t>
  </si>
  <si>
    <t>Bateau Formation conglomerate</t>
  </si>
  <si>
    <t>NN80-273</t>
  </si>
  <si>
    <t>NN80-273.jpg</t>
  </si>
  <si>
    <t>Marble (pink) in calc-silicate and pelitic metasedimentary gneiss</t>
  </si>
  <si>
    <t>NN80-274</t>
  </si>
  <si>
    <t>NN80-274.6.jpg</t>
  </si>
  <si>
    <t>Semi-pelitic metasedimentary gneiss</t>
  </si>
  <si>
    <t>NN80-274.5.jpg</t>
  </si>
  <si>
    <t>NN80-274.2.jpg</t>
  </si>
  <si>
    <t>NN80-274.3.jpg</t>
  </si>
  <si>
    <t>CG80-113.3.jpg</t>
  </si>
  <si>
    <t>Thrust plane amphibolite in contact with quartz diorite</t>
  </si>
  <si>
    <t>CG80-115</t>
  </si>
  <si>
    <t>CG80-115.jpg</t>
  </si>
  <si>
    <t>Magnetite/ilmenite in pegmatite</t>
  </si>
  <si>
    <t>CG87-312</t>
  </si>
  <si>
    <t>CG87-312.jpg</t>
  </si>
  <si>
    <t>CG84-147.4.jpg</t>
  </si>
  <si>
    <t>Buckled pegmatite</t>
  </si>
  <si>
    <t>DE91-115</t>
  </si>
  <si>
    <t>DE91-115.jpg</t>
  </si>
  <si>
    <t>DL93-063</t>
  </si>
  <si>
    <t>DL93-063.jpg</t>
  </si>
  <si>
    <t>DL93-262</t>
  </si>
  <si>
    <t>DL93-262.jpg</t>
  </si>
  <si>
    <t>Folded quartzofeldspathic (granitic) rock</t>
  </si>
  <si>
    <t>DL93-277</t>
  </si>
  <si>
    <t>DL93-277.jpg</t>
  </si>
  <si>
    <t>Quartz monzonite</t>
  </si>
  <si>
    <t>CG95-159.1.jpg</t>
  </si>
  <si>
    <t>CG95-161.3.jpg</t>
  </si>
  <si>
    <t>HP92-032.1.jpg</t>
  </si>
  <si>
    <t>HP92-033</t>
  </si>
  <si>
    <t>HP92-033.jpg</t>
  </si>
  <si>
    <t>Originally K-feldspar megacrystic granitoid</t>
  </si>
  <si>
    <t>HP92-037</t>
  </si>
  <si>
    <t>HP92-037.jpg</t>
  </si>
  <si>
    <t>Foliated granite with wavy foliation</t>
  </si>
  <si>
    <t>HP92-044</t>
  </si>
  <si>
    <t>HP92-044.1.jpg</t>
  </si>
  <si>
    <t>Mafic rock</t>
  </si>
  <si>
    <t>HP92-044.2.jpg</t>
  </si>
  <si>
    <t>HP92-128</t>
  </si>
  <si>
    <t>HP92-128.1.jpg</t>
  </si>
  <si>
    <t>CG93-297.2.jpg</t>
  </si>
  <si>
    <t>Folded fabric in granite, subsequently intruded by mafic dyke</t>
  </si>
  <si>
    <t>CG93-298</t>
  </si>
  <si>
    <t>CG93-298.jpg</t>
  </si>
  <si>
    <t>Mafic dyke with mottled texture and net-veining</t>
  </si>
  <si>
    <t>DD91-055.1.jpg</t>
  </si>
  <si>
    <t>DD91-056.5.jpg</t>
  </si>
  <si>
    <t>Hornblende-bearing pegmatite</t>
  </si>
  <si>
    <t>DD91-056.6.jpg</t>
  </si>
  <si>
    <t>SN86-196</t>
  </si>
  <si>
    <t>SN86-196.2.jpg</t>
  </si>
  <si>
    <t>Amphibolite dyke intruding granodiorite</t>
  </si>
  <si>
    <t>SN86-196.3.jpg</t>
  </si>
  <si>
    <t>Granite intruding granodiorite</t>
  </si>
  <si>
    <t>SN86-196.4.jpg</t>
  </si>
  <si>
    <t>SN86-196.1.jpg</t>
  </si>
  <si>
    <t>Muscovite biotite granite intruding granodiorite</t>
  </si>
  <si>
    <t>VN84-431.1.jpg</t>
  </si>
  <si>
    <t>Microgranite intruding granulite-facies mylonite; geochron. sample site (CG84-494)</t>
  </si>
  <si>
    <t>VN84-435</t>
  </si>
  <si>
    <t>VN84-435.jpg</t>
  </si>
  <si>
    <t>Dioritic gneiss derived from White Bear Arm complex, mylonitic</t>
  </si>
  <si>
    <t>NN80-189</t>
  </si>
  <si>
    <t>NN80-189.1.jpg</t>
  </si>
  <si>
    <t>NN80-192</t>
  </si>
  <si>
    <t>NN80-192.jpg</t>
  </si>
  <si>
    <t>Axial surface fabric in amphibolite and enveloping granitoid rock</t>
  </si>
  <si>
    <t>NN80-197</t>
  </si>
  <si>
    <t>NN80-197.jpg</t>
  </si>
  <si>
    <t>Amphibolitic and granitic gneiss</t>
  </si>
  <si>
    <t>NN80-200</t>
  </si>
  <si>
    <t>NN80-200.jpg</t>
  </si>
  <si>
    <t>Shear zone, phylonite and MT</t>
  </si>
  <si>
    <t>NN80-201</t>
  </si>
  <si>
    <t>NN80-201.jpg</t>
  </si>
  <si>
    <t>South-verging S folds in granodioritic gneiss</t>
  </si>
  <si>
    <t>CG85-592</t>
  </si>
  <si>
    <t>CG85-592.1.jpg</t>
  </si>
  <si>
    <t>CG85-592.3.jpg</t>
  </si>
  <si>
    <t>Gabbroic pegmatite segregations in gabbro</t>
  </si>
  <si>
    <t>CG85-592.2.jpg</t>
  </si>
  <si>
    <t>Agmatite intruded by mafic dyke</t>
  </si>
  <si>
    <t>CG87-105.3.jpg</t>
  </si>
  <si>
    <t>VN87-113</t>
  </si>
  <si>
    <t>VN87-113.jpg</t>
  </si>
  <si>
    <t>Well-banded diorite gneiss</t>
  </si>
  <si>
    <t>VN87-212.2.jpg</t>
  </si>
  <si>
    <t>Amphibolite enclaves and granodiorite gneiss intruded by granite</t>
  </si>
  <si>
    <t>CG86-331</t>
  </si>
  <si>
    <t>CG86-331.jpg</t>
  </si>
  <si>
    <t>Discordant muscovite-bearing pegmatite</t>
  </si>
  <si>
    <t>CG86-346</t>
  </si>
  <si>
    <t>CG86-346.jpg</t>
  </si>
  <si>
    <t>Diffusely banded dioritic gneiss</t>
  </si>
  <si>
    <t>CG86-348</t>
  </si>
  <si>
    <t>CG86-348.jpg</t>
  </si>
  <si>
    <t>Banded and agmatitic dioritic gneiss</t>
  </si>
  <si>
    <t>MN86-327</t>
  </si>
  <si>
    <t>MN86-327.jpg</t>
  </si>
  <si>
    <t>Layering in biotite amphibolite to biotite granodiorite gneiss; mylonite</t>
  </si>
  <si>
    <t>CG04-278.6.jpg</t>
  </si>
  <si>
    <t>NN80-274.1.jpg</t>
  </si>
  <si>
    <t>NN80-275</t>
  </si>
  <si>
    <t>NN80-275.1.jpg</t>
  </si>
  <si>
    <t>Contact between orthogneiss and pelitic gneiss</t>
  </si>
  <si>
    <t>NN80-275.2.jpg</t>
  </si>
  <si>
    <t>NN80-286.4.jpg</t>
  </si>
  <si>
    <t>DD91-055.2.jpg</t>
  </si>
  <si>
    <t>SN86-400</t>
  </si>
  <si>
    <t>SN86-400.jpg</t>
  </si>
  <si>
    <t>Amphibolite and K-feldspar megacrystic granodiorite</t>
  </si>
  <si>
    <t>SN86-401</t>
  </si>
  <si>
    <t>SN86-401.jpg</t>
  </si>
  <si>
    <t>Deformed and migmatized K-feldspar megacrystic granodiorite</t>
  </si>
  <si>
    <t>SN86-404</t>
  </si>
  <si>
    <t>SN86-404.3.jpg</t>
  </si>
  <si>
    <t>Layers in metasedimentary gneiss</t>
  </si>
  <si>
    <t>SN86-404.1.jpg</t>
  </si>
  <si>
    <t>Banded metasedimentary gneiss</t>
  </si>
  <si>
    <t>SN86-404.2.jpg</t>
  </si>
  <si>
    <t>CG81-046.1.jpg</t>
  </si>
  <si>
    <t>Coarse-grained Earl Island diorite with agmatized mafic dyke</t>
  </si>
  <si>
    <t>CG80-264</t>
  </si>
  <si>
    <t>CG80-264.jpg</t>
  </si>
  <si>
    <t>Biotite tonalite gneiss</t>
  </si>
  <si>
    <t>VN84-053.1.jpg</t>
  </si>
  <si>
    <t>VN91-424.4.jpg</t>
  </si>
  <si>
    <t>RG80-133.07.jpg</t>
  </si>
  <si>
    <t>CG87-478.04.jpg</t>
  </si>
  <si>
    <t>Pegmatite truncated at unconformity with overlying Lighthouse Cove Formation</t>
  </si>
  <si>
    <t>CG87-478.07.jpg</t>
  </si>
  <si>
    <t>CG87-478.05.jpg</t>
  </si>
  <si>
    <t>JS87-072</t>
  </si>
  <si>
    <t>JS87-072.jpg</t>
  </si>
  <si>
    <t>Weakly foliated K-feldspar megacrystic granodiorite to granite</t>
  </si>
  <si>
    <t>CG79-099.2.jpg</t>
  </si>
  <si>
    <t>RB on top of Mount Benedict</t>
  </si>
  <si>
    <t>CG79-099.3.jpg</t>
  </si>
  <si>
    <t>Pamiulik River valley from Mt. Benedict</t>
  </si>
  <si>
    <t>CG79-118</t>
  </si>
  <si>
    <t>CG79-118.2.jpg</t>
  </si>
  <si>
    <t>Contact between syenite and granite</t>
  </si>
  <si>
    <t>CG87-265</t>
  </si>
  <si>
    <t>CG87-265.jpg</t>
  </si>
  <si>
    <t>Migmatitic granitoid rock</t>
  </si>
  <si>
    <t>CG93-328</t>
  </si>
  <si>
    <t>CG93-328.1.jpg</t>
  </si>
  <si>
    <t>Foliation in late- white-weathering syenite</t>
  </si>
  <si>
    <t>NN84-104.3.jpg</t>
  </si>
  <si>
    <t>CG86-723</t>
  </si>
  <si>
    <t>CG86-723.1.jpg</t>
  </si>
  <si>
    <t>Net-veined agmatitic amphibolite</t>
  </si>
  <si>
    <t>CG86-723.2.jpg</t>
  </si>
  <si>
    <t>Garnet reaction rims at margin of amphibolite in agmatite</t>
  </si>
  <si>
    <t>CG86-724</t>
  </si>
  <si>
    <t>CG86-724.1.jpg</t>
  </si>
  <si>
    <t>Net-veined mafic dyke intruded by non-net-veined mafic dyke</t>
  </si>
  <si>
    <t>CG86-724.2.jpg</t>
  </si>
  <si>
    <t>Narrow net-veined mafic dyke</t>
  </si>
  <si>
    <t>CG86-728</t>
  </si>
  <si>
    <t>CG86-728.1.jpg</t>
  </si>
  <si>
    <t>Homogeneous sillimanite-bearing metasedimentary 'gneiss'</t>
  </si>
  <si>
    <t>CG86-728.2.jpg</t>
  </si>
  <si>
    <t>CG86-729</t>
  </si>
  <si>
    <t>CG86-729.jpg</t>
  </si>
  <si>
    <t>CG98-188</t>
  </si>
  <si>
    <t>CG98-188.2.jpg</t>
  </si>
  <si>
    <t>Metasedimentary diatexite with garnet</t>
  </si>
  <si>
    <t>CG98-188.1.jpg</t>
  </si>
  <si>
    <t>CG98-191</t>
  </si>
  <si>
    <t>CG98-191.jpg</t>
  </si>
  <si>
    <t>Discontinuously banded granitic gneiss</t>
  </si>
  <si>
    <t>CG98-194</t>
  </si>
  <si>
    <t>CG98-194.jpg</t>
  </si>
  <si>
    <t>Pegmatite with graphic texture</t>
  </si>
  <si>
    <t>CG98-196</t>
  </si>
  <si>
    <t>CG98-196.jpg</t>
  </si>
  <si>
    <t>CG98-200</t>
  </si>
  <si>
    <t>CG98-200.jpg</t>
  </si>
  <si>
    <t>CG00-227</t>
  </si>
  <si>
    <t>CG00-227.jpg</t>
  </si>
  <si>
    <t>Streaky amphibolite</t>
  </si>
  <si>
    <t>HP92-130.2.jpg</t>
  </si>
  <si>
    <t>HP92-130.3.jpg</t>
  </si>
  <si>
    <t>CG99-391</t>
  </si>
  <si>
    <t>CG99-391.1.jpg</t>
  </si>
  <si>
    <t>Biotite granite with irregular pegmatitic veins and vein quartz</t>
  </si>
  <si>
    <t>CG99-391.2.jpg</t>
  </si>
  <si>
    <t>Biotite granite</t>
  </si>
  <si>
    <t>CG99-394</t>
  </si>
  <si>
    <t>CG99-394.jpg</t>
  </si>
  <si>
    <t>JS86-410</t>
  </si>
  <si>
    <t>JS86-410.jpg</t>
  </si>
  <si>
    <t>S-fold in biotite sillimanite metasedimentary gneiss</t>
  </si>
  <si>
    <t>JS86-416</t>
  </si>
  <si>
    <t>JS86-416.jpg</t>
  </si>
  <si>
    <t>JS86-423</t>
  </si>
  <si>
    <t>JS86-423.jpg</t>
  </si>
  <si>
    <t>Coronitic metagabbro with coarser-grained layer</t>
  </si>
  <si>
    <t>CG84-439.3.jpg</t>
  </si>
  <si>
    <t>Orthopyroxene-bearing pegmatite intruded by younger pegmatite</t>
  </si>
  <si>
    <t>CG84-439.2.jpg</t>
  </si>
  <si>
    <t>Orthopyroxene in leucosome in amphibolite</t>
  </si>
  <si>
    <t>CG84-439.1.jpg</t>
  </si>
  <si>
    <t>CG79-266</t>
  </si>
  <si>
    <t>CG79-266.1.jpg</t>
  </si>
  <si>
    <t>Deformed mafic dykes</t>
  </si>
  <si>
    <t>CG79-266.2.jpg</t>
  </si>
  <si>
    <t>Remnants of mafic dykes</t>
  </si>
  <si>
    <t>CG86-528.09.jpg</t>
  </si>
  <si>
    <t>Massive flows and metasedimentary intercalation</t>
  </si>
  <si>
    <t>CG98-151</t>
  </si>
  <si>
    <t>CG98-151.jpg</t>
  </si>
  <si>
    <t>Looking at Rocky Pond from northwest</t>
  </si>
  <si>
    <t>VN93-093.1.jpg</t>
  </si>
  <si>
    <t>Discordant amphibolite dyke intruding foliated monzonite; Phyllis McCrindle</t>
  </si>
  <si>
    <t>VN93-095.4.jpg</t>
  </si>
  <si>
    <t>GM85-476.4.jpg</t>
  </si>
  <si>
    <t>GM85-476.3.jpg</t>
  </si>
  <si>
    <t>CG79-375.1.jpg</t>
  </si>
  <si>
    <t>Deformed hornblende quartz monzonite</t>
  </si>
  <si>
    <t>CG79-375.2.jpg</t>
  </si>
  <si>
    <t>Hornblende quartz monzonite</t>
  </si>
  <si>
    <t>CG79-375.3.jpg</t>
  </si>
  <si>
    <t>Hornblende quartz monzonite, relatively undeformed</t>
  </si>
  <si>
    <t>CG79-375.4.jpg</t>
  </si>
  <si>
    <t>contact between lensy-fabric tonalite/granodiorite and quartz monzonite</t>
  </si>
  <si>
    <t>CG79-376</t>
  </si>
  <si>
    <t>CG79-376.jpg</t>
  </si>
  <si>
    <t>Recumbent isoclinal folding in tonalite/granodiorite gneiss</t>
  </si>
  <si>
    <t>CG79-377</t>
  </si>
  <si>
    <t>CG79-377.jpg</t>
  </si>
  <si>
    <t>Kodak but different from rest</t>
  </si>
  <si>
    <t>Granodiorite containing large enclave of granulite complex</t>
  </si>
  <si>
    <t>CG79-378</t>
  </si>
  <si>
    <t>CG79-378.jpg</t>
  </si>
  <si>
    <t>Folded foliation in granitoid rock</t>
  </si>
  <si>
    <t>CG79-381</t>
  </si>
  <si>
    <t>CG79-381.jpg</t>
  </si>
  <si>
    <t>Deformed mafic dyke in K-feldspar megacrystic granodiorite</t>
  </si>
  <si>
    <t>VO81-342</t>
  </si>
  <si>
    <t>VO81-342.jpg</t>
  </si>
  <si>
    <t>Feldspathic leucosome in diorite</t>
  </si>
  <si>
    <t>VO81-357</t>
  </si>
  <si>
    <t>VO81-357.jpg</t>
  </si>
  <si>
    <t>Garnetiferous dioritic gneiss</t>
  </si>
  <si>
    <t>GM85-662</t>
  </si>
  <si>
    <t>GM85-662.4.jpg</t>
  </si>
  <si>
    <t>K-feldspar megacrystic diorite intruded by pink granite</t>
  </si>
  <si>
    <t>GM85-662.3.jpg</t>
  </si>
  <si>
    <t>GM85-662.2.jpg</t>
  </si>
  <si>
    <t>Contact between K-feldspar megacrystic diorite and pink granite</t>
  </si>
  <si>
    <t>GM85-662.1.jpg</t>
  </si>
  <si>
    <t>JS86-428</t>
  </si>
  <si>
    <t>JS86-428.jpg</t>
  </si>
  <si>
    <t>Mafic rock with pseudo- pillowforms</t>
  </si>
  <si>
    <t>CG81-306.11.jpg</t>
  </si>
  <si>
    <t>CG81-306.28.jpg</t>
  </si>
  <si>
    <t>Pegmatite source in monzonite of Little Grady Island intrusion</t>
  </si>
  <si>
    <t>CG00-319.7.jpg</t>
  </si>
  <si>
    <t>Amphibolite associated with granodiorite</t>
  </si>
  <si>
    <t>CG87-489.1.jpg</t>
  </si>
  <si>
    <t>NN84-105.1.jpg</t>
  </si>
  <si>
    <t>Coarse-grained, mare melanocratic layer in Alexis River anorthosite</t>
  </si>
  <si>
    <t>CG80-113.6.jpg</t>
  </si>
  <si>
    <t>Steeply dipping amphibolite behind thrust</t>
  </si>
  <si>
    <t>CG80-113.4.jpg</t>
  </si>
  <si>
    <t>Fold behind thrust plane</t>
  </si>
  <si>
    <t>CG87-484</t>
  </si>
  <si>
    <t>CG87-484.08.jpg</t>
  </si>
  <si>
    <t>Henley Harbour looking west from the Devil's Dining Table 2</t>
  </si>
  <si>
    <t>CG87-484.07.jpg</t>
  </si>
  <si>
    <t>Henley Harbour looking west from the Devil's Dining Table 1</t>
  </si>
  <si>
    <t>CG87-484.01.jpg</t>
  </si>
  <si>
    <t>Columnar basalt of Lighthouse Cove Formation</t>
  </si>
  <si>
    <t>SN86-438</t>
  </si>
  <si>
    <t>SN86-438.1.jpg</t>
  </si>
  <si>
    <t>CG84-307.1.jpg</t>
  </si>
  <si>
    <t>CG81-046.3.jpg</t>
  </si>
  <si>
    <t>Animal on beach</t>
  </si>
  <si>
    <t>CG81-239.1.jpg</t>
  </si>
  <si>
    <t>Black bears 1</t>
  </si>
  <si>
    <t>CG07-164</t>
  </si>
  <si>
    <t>CG07-164.jpg</t>
  </si>
  <si>
    <t>Southern point on Battle Island; Great Caribou Island in background</t>
  </si>
  <si>
    <t>HP92-090.1.jpg</t>
  </si>
  <si>
    <t>Amphibole-bearing granite</t>
  </si>
  <si>
    <t>HP92-093</t>
  </si>
  <si>
    <t>HP92-093.2.jpg</t>
  </si>
  <si>
    <t>HP92-093.3.jpg</t>
  </si>
  <si>
    <t>HP92-093.1.jpg</t>
  </si>
  <si>
    <t>HP92-107</t>
  </si>
  <si>
    <t>HP92-107.2.jpg</t>
  </si>
  <si>
    <t>Foliated monzodiorite</t>
  </si>
  <si>
    <t>HP92-107.1.jpg</t>
  </si>
  <si>
    <t>HP92-111</t>
  </si>
  <si>
    <t>HP92-111.jpg</t>
  </si>
  <si>
    <t>Vein of fine-grained syenite in medium-grained syenite</t>
  </si>
  <si>
    <t>HP92-127</t>
  </si>
  <si>
    <t>HP92-127.jpg</t>
  </si>
  <si>
    <t>HP92-128.2.jpg</t>
  </si>
  <si>
    <t>VN92-042</t>
  </si>
  <si>
    <t>VN92-042.2.jpg</t>
  </si>
  <si>
    <t>VN92-042.1.jpg</t>
  </si>
  <si>
    <t>CG84-245</t>
  </si>
  <si>
    <t>CG84-245.jpg</t>
  </si>
  <si>
    <t>Muscovite-bearing pegmatite</t>
  </si>
  <si>
    <t>CG84-251</t>
  </si>
  <si>
    <t>CG84-251.jpg</t>
  </si>
  <si>
    <t>Beaver</t>
  </si>
  <si>
    <t>VN85-397.2.jpg</t>
  </si>
  <si>
    <t>GM85-503.2.jpg</t>
  </si>
  <si>
    <t>GM85-503.1.jpg</t>
  </si>
  <si>
    <t>GM85-506.4.jpg</t>
  </si>
  <si>
    <t>GM85-515</t>
  </si>
  <si>
    <t>GM85-515.2.jpg</t>
  </si>
  <si>
    <t>Augen-textured metasedimentary(?) gneiss and amphibolite and BL</t>
  </si>
  <si>
    <t>NN80-019</t>
  </si>
  <si>
    <t>NN80-019.1.jpg</t>
  </si>
  <si>
    <t>NN80-019.2.jpg</t>
  </si>
  <si>
    <t>Shear surface in brecciated rock</t>
  </si>
  <si>
    <t>VN93-105</t>
  </si>
  <si>
    <t>VN93-105.1.jpg</t>
  </si>
  <si>
    <t>Amphibolite enclave(?) in foliated granite</t>
  </si>
  <si>
    <t>VN93-105.2.jpg</t>
  </si>
  <si>
    <t>VN93-105.3.jpg</t>
  </si>
  <si>
    <t>Fine-grained granitic vein intruding foliated granite</t>
  </si>
  <si>
    <t>VN93-106.1.jpg</t>
  </si>
  <si>
    <t>Coarse-grained foliated granite</t>
  </si>
  <si>
    <t>VN91-014.2.jpg</t>
  </si>
  <si>
    <t>VN91-038</t>
  </si>
  <si>
    <t>VN91-038.jpg</t>
  </si>
  <si>
    <t>Contact between K-feldspar megacrystic and non-megacrystic granitoids</t>
  </si>
  <si>
    <t>DD91-004.1.jpg</t>
  </si>
  <si>
    <t>JA92-124</t>
  </si>
  <si>
    <t>JA92-124.4.jpg</t>
  </si>
  <si>
    <t>Mafic dyke on St. Paul River. Long Range dyke?</t>
  </si>
  <si>
    <t>MN86-358</t>
  </si>
  <si>
    <t>MN86-358.2.jpg</t>
  </si>
  <si>
    <t>Gabbro, ultramafic rocks and anorthosite in layered mafic body</t>
  </si>
  <si>
    <t>CG85-541.3.jpg</t>
  </si>
  <si>
    <t>CG95-060</t>
  </si>
  <si>
    <t>CG95-060.jpg</t>
  </si>
  <si>
    <t>Garnet-rich, well-banded metasedimentary gneiss</t>
  </si>
  <si>
    <t>CG95-062</t>
  </si>
  <si>
    <t>CG95-062.jpg</t>
  </si>
  <si>
    <t>Biotite granodiorite gneiss, discordantly intruded by amphibolite mafic dyke</t>
  </si>
  <si>
    <t>CG95-095.3.jpg</t>
  </si>
  <si>
    <t>Discordant pegmatite intruding gneiss with sinistral sense of displacement</t>
  </si>
  <si>
    <t>CG95-095.4.jpg</t>
  </si>
  <si>
    <t>Microgranite discordantly intruding gneiss and pegmatite</t>
  </si>
  <si>
    <t>CG80-294</t>
  </si>
  <si>
    <t>CG80-294.2.jpg</t>
  </si>
  <si>
    <t>Interfingering of mafic dyke with granodiorite/granite</t>
  </si>
  <si>
    <t>CG80-337</t>
  </si>
  <si>
    <t>CG80-337.1.jpg</t>
  </si>
  <si>
    <t>Remnant of older mafic dyke intruded by younger mafic dyke</t>
  </si>
  <si>
    <t>CG80-337.3.jpg</t>
  </si>
  <si>
    <t>Gradation from homogeneous to gneissic granodiorite/tonalite</t>
  </si>
  <si>
    <t>CG80-337.2.jpg</t>
  </si>
  <si>
    <t>Folded older mafic dyke</t>
  </si>
  <si>
    <t>CG92-163.5.jpg</t>
  </si>
  <si>
    <t>MN86-324</t>
  </si>
  <si>
    <t>MN86-324.jpg</t>
  </si>
  <si>
    <t>CG04-217.1.jpg</t>
  </si>
  <si>
    <t>CG80-078</t>
  </si>
  <si>
    <t>CG80-078.jpg</t>
  </si>
  <si>
    <t>S-folded mafic dyke</t>
  </si>
  <si>
    <t>CG80-081</t>
  </si>
  <si>
    <t>CG80-081.jpg</t>
  </si>
  <si>
    <t>Diorite with pegmatite</t>
  </si>
  <si>
    <t>CG80-085</t>
  </si>
  <si>
    <t>CG80-085.jpg</t>
  </si>
  <si>
    <t>K-feldspar megacrystic granodiorite with mafic dyke</t>
  </si>
  <si>
    <t>CG80-088</t>
  </si>
  <si>
    <t>CG80-088.jpg</t>
  </si>
  <si>
    <t>CG80-089</t>
  </si>
  <si>
    <t>CG80-089.jpg</t>
  </si>
  <si>
    <t>Sheared/mylonitized rocks of dioritic aspect</t>
  </si>
  <si>
    <t>JA92-024.1.jpg</t>
  </si>
  <si>
    <t>CG95-197.2.jpg</t>
  </si>
  <si>
    <t>VN84-189.1.jpg</t>
  </si>
  <si>
    <t>K-feldspar megacrystic syenogranite (original photo erroneously  labelled VN84-182)</t>
  </si>
  <si>
    <t>CG03-181</t>
  </si>
  <si>
    <t>CG03-181.jpg</t>
  </si>
  <si>
    <t>Straight gneiss / mylonite</t>
  </si>
  <si>
    <t>CG95-096.5.jpg</t>
  </si>
  <si>
    <t>Banded gneiss discordantly intruded by pegmatite</t>
  </si>
  <si>
    <t>CG00-319.3.jpg</t>
  </si>
  <si>
    <t>GM85-508</t>
  </si>
  <si>
    <t>GM85-508.2.jpg</t>
  </si>
  <si>
    <t>GM85-508.1.jpg</t>
  </si>
  <si>
    <t>GM85-508.3.jpg</t>
  </si>
  <si>
    <t>JA92-018</t>
  </si>
  <si>
    <t>JA92-018.2E.jpg</t>
  </si>
  <si>
    <t>Forest at northeast edge of Kyfanan Lake map region (3 km NE of JA92-018 looking SW)</t>
  </si>
  <si>
    <t>JA92-018.1.jpg</t>
  </si>
  <si>
    <t>Fractures  in amphibolite</t>
  </si>
  <si>
    <t>VN95-173.2.jpg</t>
  </si>
  <si>
    <t>HP92-082.2.jpg</t>
  </si>
  <si>
    <t>VN93-104</t>
  </si>
  <si>
    <t>VN93-104.4.jpg</t>
  </si>
  <si>
    <t>Hornblende-rich segregations in foliated granite</t>
  </si>
  <si>
    <t>VN93-104.3.jpg</t>
  </si>
  <si>
    <t>Deformed amphibolite intruding foliated granite</t>
  </si>
  <si>
    <t>VN93-104.2.jpg</t>
  </si>
  <si>
    <t>Amphibolite dyke intruding foliated granite</t>
  </si>
  <si>
    <t>GF81-042</t>
  </si>
  <si>
    <t>GF81-042.jpg</t>
  </si>
  <si>
    <t>Earl Island diorite with abundant amphibolite enclaves</t>
  </si>
  <si>
    <t>VO81-022</t>
  </si>
  <si>
    <t>VO81-022.1.jpg</t>
  </si>
  <si>
    <t>Mobilizate following shear surface</t>
  </si>
  <si>
    <t>VO81-022.2.jpg</t>
  </si>
  <si>
    <t>CG81-306.26.jpg</t>
  </si>
  <si>
    <t>CG85-644.2.jpg</t>
  </si>
  <si>
    <t>True age relationships showing that pegmatite intrudes mafic dyke</t>
  </si>
  <si>
    <t>CG86-017.1.jpg</t>
  </si>
  <si>
    <t>Pegmatite in Alexis River anorthosite, subsequent faulting</t>
  </si>
  <si>
    <t>CG86-017.2.jpg</t>
  </si>
  <si>
    <t>Sinistral displacement along shear in Alexis River anorthosite</t>
  </si>
  <si>
    <t>VN92-190</t>
  </si>
  <si>
    <t>VN92-190.jpg</t>
  </si>
  <si>
    <t>Banding in granite defined by concordant veins</t>
  </si>
  <si>
    <t>VN92-192</t>
  </si>
  <si>
    <t>VN92-192.2.jpg</t>
  </si>
  <si>
    <t>Banding in granite</t>
  </si>
  <si>
    <t>VN92-192.1.jpg</t>
  </si>
  <si>
    <t>VN92-193</t>
  </si>
  <si>
    <t>VN92-193.jpg</t>
  </si>
  <si>
    <t>VN92-194</t>
  </si>
  <si>
    <t>VN92-194.jpg</t>
  </si>
  <si>
    <t>Strongly foliated and lineated granite</t>
  </si>
  <si>
    <t>VN92-223.4.jpg</t>
  </si>
  <si>
    <t>View of forested hills looking south into Quebec</t>
  </si>
  <si>
    <t>VN92-223.2.jpg</t>
  </si>
  <si>
    <t>HP92-058</t>
  </si>
  <si>
    <t>HP92-058.3.jpg</t>
  </si>
  <si>
    <t>HP92-058.1.jpg</t>
  </si>
  <si>
    <t>HP92-062</t>
  </si>
  <si>
    <t>HP92-062.jpg</t>
  </si>
  <si>
    <t>HP92-082.5.jpg</t>
  </si>
  <si>
    <t>HP92-082.3.jpg</t>
  </si>
  <si>
    <t>Microgranite dyke intruding folded foliation in granitoid rock</t>
  </si>
  <si>
    <t>RG80-088</t>
  </si>
  <si>
    <t>RG80-088.1.jpg</t>
  </si>
  <si>
    <t>RG80-088.2.jpg</t>
  </si>
  <si>
    <t>RG80-088.3.jpg</t>
  </si>
  <si>
    <t>RG80-091</t>
  </si>
  <si>
    <t>RG80-091.jpg</t>
  </si>
  <si>
    <t>RG80-092</t>
  </si>
  <si>
    <t>RG80-092.jpg</t>
  </si>
  <si>
    <t>Raft of paleosome in metatexite</t>
  </si>
  <si>
    <t>MN86-329.1.jpg</t>
  </si>
  <si>
    <t>Pegmatite intruding mylonite</t>
  </si>
  <si>
    <t>NN84-067.1.jpg</t>
  </si>
  <si>
    <t>NN84-071</t>
  </si>
  <si>
    <t>NN84-071.jpg</t>
  </si>
  <si>
    <t>Alexis River anorthosite with gabbro enclaves; Janet O'Neill</t>
  </si>
  <si>
    <t>VN91-465.2.jpg</t>
  </si>
  <si>
    <t>Strongly humanized diorite</t>
  </si>
  <si>
    <t>VN91-466</t>
  </si>
  <si>
    <t>VN91-466.1.jpg</t>
  </si>
  <si>
    <t>Folds in sillimanite-bearing metasedimentary gneiss</t>
  </si>
  <si>
    <t>VN91-466.2.jpg</t>
  </si>
  <si>
    <t>Folded, sillimanite migmatitic gneiss</t>
  </si>
  <si>
    <t>VN91-467</t>
  </si>
  <si>
    <t>VN91-467.1.jpg</t>
  </si>
  <si>
    <t>C-S fabric in granite</t>
  </si>
  <si>
    <t>VN91-467.2.jpg</t>
  </si>
  <si>
    <t>C-S fabric in mylonitic granite</t>
  </si>
  <si>
    <t>VN92-001</t>
  </si>
  <si>
    <t>VN92-001.1.jpg</t>
  </si>
  <si>
    <t>Deformed amphibolite dyke in K-feldspar megacrystic granite</t>
  </si>
  <si>
    <t>VN92-001.2.jpg</t>
  </si>
  <si>
    <t>VN92-003</t>
  </si>
  <si>
    <t>VN92-003.1.jpg</t>
  </si>
  <si>
    <t>Texture of foliated monzodiorite/monzonite</t>
  </si>
  <si>
    <t>NN84-391</t>
  </si>
  <si>
    <t>NN84-391.3.jpg</t>
  </si>
  <si>
    <t>Melanocratic phase of Alexis River anorthosite with hornblende coronas on pyroxene</t>
  </si>
  <si>
    <t>NN84-391.2.jpg</t>
  </si>
  <si>
    <t>NN84-391.1.jpg</t>
  </si>
  <si>
    <t>Melanocratic phase of Alexis River anorthosite; deformed</t>
  </si>
  <si>
    <t>NN84-415</t>
  </si>
  <si>
    <t>NN84-415.jpg</t>
  </si>
  <si>
    <t>Mylonitic granitoid rock</t>
  </si>
  <si>
    <t>VN91-388.1.jpg</t>
  </si>
  <si>
    <t>S-fold in metasedimentary gneiss</t>
  </si>
  <si>
    <t>CG81-306.10.jpg</t>
  </si>
  <si>
    <t>CG79-268</t>
  </si>
  <si>
    <t>CG79-268.2.jpg</t>
  </si>
  <si>
    <t>CG80-350.14.jpg</t>
  </si>
  <si>
    <t>Boudinaged mafic dyke on east side of major mafic dyke</t>
  </si>
  <si>
    <t>CG80-350.10.jpg</t>
  </si>
  <si>
    <t>Nebulitic granodiorite geochron. sample</t>
  </si>
  <si>
    <t>CG80-350.02.jpg</t>
  </si>
  <si>
    <t>Nebulitic granodiorite in tectonic contact with mafic dyke</t>
  </si>
  <si>
    <t>CG80-350.04.jpg</t>
  </si>
  <si>
    <t>CG80-350.11.jpg</t>
  </si>
  <si>
    <t>VN84-166</t>
  </si>
  <si>
    <t>VN84-166.jpg</t>
  </si>
  <si>
    <t>Syenogranite veining in amphibolite/metagabbro</t>
  </si>
  <si>
    <t>VN84-179</t>
  </si>
  <si>
    <t>VN84-179.jpg</t>
  </si>
  <si>
    <t>VN84-189.3.jpg</t>
  </si>
  <si>
    <t>K-feldspar megacrysts with reaction rims in metagabbro</t>
  </si>
  <si>
    <t>VN84-189.5.jpg</t>
  </si>
  <si>
    <t>K-feldspar megacrystic gabbro</t>
  </si>
  <si>
    <t>VN84-189.4.jpg</t>
  </si>
  <si>
    <t>CG79-225.1.jpg</t>
  </si>
  <si>
    <t>NN84-231</t>
  </si>
  <si>
    <t>NN84-231.jpg</t>
  </si>
  <si>
    <t>Alexis River anorthosite with large plagioclase crystals</t>
  </si>
  <si>
    <t>NN84-234</t>
  </si>
  <si>
    <t>NN84-234.1.jpg</t>
  </si>
  <si>
    <t>Garnet-rich amphibolite dyke</t>
  </si>
  <si>
    <t>NN84-234.2.jpg</t>
  </si>
  <si>
    <t>Garnetiferous amphibolite</t>
  </si>
  <si>
    <t>NN84-234.3.jpg</t>
  </si>
  <si>
    <t>Folded garnetiferous amphibolite</t>
  </si>
  <si>
    <t>VN91-264.05.jpg</t>
  </si>
  <si>
    <t>VN91-264.04.jpg</t>
  </si>
  <si>
    <t>VN91-264.09.jpg</t>
  </si>
  <si>
    <t>Subhedral garnet in quartz diorite gneiss</t>
  </si>
  <si>
    <t>CG80-641</t>
  </si>
  <si>
    <t>CG80-641.jpg</t>
  </si>
  <si>
    <t>CG80-685</t>
  </si>
  <si>
    <t>CG80-685.4.jpg</t>
  </si>
  <si>
    <t>Double Mer Formation conglomerate</t>
  </si>
  <si>
    <t>CG80-685.3.jpg</t>
  </si>
  <si>
    <t>CG80-694.2.jpg</t>
  </si>
  <si>
    <t>VN84-054</t>
  </si>
  <si>
    <t>VN84-054.jpg</t>
  </si>
  <si>
    <t>Migmatized and ductile brecciated metasedimentary gneiss</t>
  </si>
  <si>
    <t>VN84-109</t>
  </si>
  <si>
    <t>VN84-109.jpg</t>
  </si>
  <si>
    <t>VN84-137</t>
  </si>
  <si>
    <t>VN84-137.jpg</t>
  </si>
  <si>
    <t>CG95-111</t>
  </si>
  <si>
    <t>CG95-111.jpg</t>
  </si>
  <si>
    <t>Enclave of garnet-cordierite metasedimentary gneiss in pink granite</t>
  </si>
  <si>
    <t>CG85-148</t>
  </si>
  <si>
    <t>CG85-148.1.jpg</t>
  </si>
  <si>
    <t>Waterfall on Sand Hill River</t>
  </si>
  <si>
    <t>CG85-148.2.jpg</t>
  </si>
  <si>
    <t>CG85-148.3.jpg</t>
  </si>
  <si>
    <t>CG93-299</t>
  </si>
  <si>
    <t>CG93-299.1.jpg</t>
  </si>
  <si>
    <t>Intermediate to mafic dyke discordantly intruding foliated granite</t>
  </si>
  <si>
    <t>CG93-299.2.jpg</t>
  </si>
  <si>
    <t>CG93-300</t>
  </si>
  <si>
    <t>CG93-300.2.jpg</t>
  </si>
  <si>
    <t>Margin of discordant, net-veined mafic dyke</t>
  </si>
  <si>
    <t>CG93-300.3.jpg</t>
  </si>
  <si>
    <t>CG93-301</t>
  </si>
  <si>
    <t>CG93-301.jpg</t>
  </si>
  <si>
    <t>Well-banded dioritic to amphibolitic gneiss</t>
  </si>
  <si>
    <t>CG93-304</t>
  </si>
  <si>
    <t>CG93-304.jpg</t>
  </si>
  <si>
    <t>Discordant microgranite intruding amphibolite and granite</t>
  </si>
  <si>
    <t>CG93-305</t>
  </si>
  <si>
    <t>CG93-305.jpg</t>
  </si>
  <si>
    <t>CG93-306.1.jpg</t>
  </si>
  <si>
    <t>VN91-266</t>
  </si>
  <si>
    <t>VN91-266.2.jpg</t>
  </si>
  <si>
    <t>Dextral rotation in K-feldspar porphyroclast; near megacrystic granite - metasedimentary gneiss contact</t>
  </si>
  <si>
    <t>VN91-269</t>
  </si>
  <si>
    <t>VN91-269.1.jpg</t>
  </si>
  <si>
    <t>VN91-269.2.jpg</t>
  </si>
  <si>
    <t>Pseudomegacrystic granodiorite; near contact</t>
  </si>
  <si>
    <t>VN91-269.3.jpg</t>
  </si>
  <si>
    <t>Psammitic/granitic gneiss</t>
  </si>
  <si>
    <t>RG80-049.5.jpg</t>
  </si>
  <si>
    <t>RG80-052</t>
  </si>
  <si>
    <t>RG80-052.1.jpg</t>
  </si>
  <si>
    <t>Mylonitic granodiorite, quartz diorite and amphibolitic gneiss</t>
  </si>
  <si>
    <t>JA92-036</t>
  </si>
  <si>
    <t>JA92-036.jpg</t>
  </si>
  <si>
    <t>Foliated leucogabbro</t>
  </si>
  <si>
    <t>CG98-216</t>
  </si>
  <si>
    <t>CG98-216.1.jpg</t>
  </si>
  <si>
    <t>Layering in leucotroctolite/anorthosite</t>
  </si>
  <si>
    <t>CG98-216.2.jpg</t>
  </si>
  <si>
    <t>Close-up of layering in leucotroctolite/anorthosite</t>
  </si>
  <si>
    <t>CG99-027</t>
  </si>
  <si>
    <t>CG99-027.jpg</t>
  </si>
  <si>
    <t>CG99-028</t>
  </si>
  <si>
    <t>CG99-028.jpg</t>
  </si>
  <si>
    <t>Bird's nest (centre) in spruce forest</t>
  </si>
  <si>
    <t>VN93-384.1.jpg</t>
  </si>
  <si>
    <t>Moderately foliated Picton Pond quartz monzonite; geochron. sample site</t>
  </si>
  <si>
    <t>VN93-384.3.jpg</t>
  </si>
  <si>
    <t>Fine-grained quartz monzonite intruding coarse-grained Picton Pond quartz monzonite</t>
  </si>
  <si>
    <t>VN91-372.1.jpg</t>
  </si>
  <si>
    <t>Concordant granitic veins in K-feldspar megacrystic granite</t>
  </si>
  <si>
    <t>NN80-008</t>
  </si>
  <si>
    <t>NN80-008.3.jpg</t>
  </si>
  <si>
    <t>Garnet-rich amphibolite with hornblende rims around garnet</t>
  </si>
  <si>
    <t>VN93-277</t>
  </si>
  <si>
    <t>VN93-277.1.jpg</t>
  </si>
  <si>
    <t>Weak to moderate foliation in hornblende clinopyroxene mangerite Lower Pinware River alkali-feldspar syenite</t>
  </si>
  <si>
    <t>VN93-033</t>
  </si>
  <si>
    <t>VN93-033.03.jpg</t>
  </si>
  <si>
    <t>VN93-033.01.jpg</t>
  </si>
  <si>
    <t>VN93-034</t>
  </si>
  <si>
    <t>VN93-034.1.jpg</t>
  </si>
  <si>
    <t>VN93-034.2.jpg</t>
  </si>
  <si>
    <t>VN93-036</t>
  </si>
  <si>
    <t>VN93-036.1.jpg</t>
  </si>
  <si>
    <t>Amphibolite dyke truncating layering in Red Bay gabbronorite</t>
  </si>
  <si>
    <t>VN91-221.1.jpg</t>
  </si>
  <si>
    <t>VN91-221.8.jpg</t>
  </si>
  <si>
    <t>Mafic-mineral-rich metagabbro intruded by granite</t>
  </si>
  <si>
    <t>CG86-746.4.jpg</t>
  </si>
  <si>
    <t>Mafic dykes displaced by shears and intruded by pegmatite</t>
  </si>
  <si>
    <t>CG86-746.3.jpg</t>
  </si>
  <si>
    <t>CG86-754</t>
  </si>
  <si>
    <t>CG86-754.2.jpg</t>
  </si>
  <si>
    <t>Picnic on beach west of Port Hope Simpson (1987 field party)</t>
  </si>
  <si>
    <t>CG93-183.4.jpg</t>
  </si>
  <si>
    <t>Vein showing mafic selvedges</t>
  </si>
  <si>
    <t>MC77-097.3.jpg</t>
  </si>
  <si>
    <t>CG93-411</t>
  </si>
  <si>
    <t>CG93-411.jpg</t>
  </si>
  <si>
    <t>Rusty-weathering (gossanous) enclave</t>
  </si>
  <si>
    <t>HP92-143</t>
  </si>
  <si>
    <t>HP92-143.8.jpg</t>
  </si>
  <si>
    <t>Loons? on St. Paul River</t>
  </si>
  <si>
    <t>JA92-041.1.jpg</t>
  </si>
  <si>
    <t>Aplite vein intruding coarser-grained granite</t>
  </si>
  <si>
    <t>JA92-041.2.jpg</t>
  </si>
  <si>
    <t>Joints in granite</t>
  </si>
  <si>
    <t>JA92-042</t>
  </si>
  <si>
    <t>JA92-042.jpg</t>
  </si>
  <si>
    <t>JA92-043</t>
  </si>
  <si>
    <t>JA92-043.jpg</t>
  </si>
  <si>
    <t>Foliated granite altered to greenschist facies assemblage</t>
  </si>
  <si>
    <t>JA92-044</t>
  </si>
  <si>
    <t>JA92-044.jpg</t>
  </si>
  <si>
    <t>Joint intersection in foliated granite</t>
  </si>
  <si>
    <t>CG03-067</t>
  </si>
  <si>
    <t>CG03-067.jpg</t>
  </si>
  <si>
    <t>Road cut with residual snow banks</t>
  </si>
  <si>
    <t>CG03-082</t>
  </si>
  <si>
    <t>CG03-082.jpg</t>
  </si>
  <si>
    <t>Road cut with residual snow banks and hills in background</t>
  </si>
  <si>
    <t>CG87-469.08E.jpg</t>
  </si>
  <si>
    <t>SD at Wolf Cove</t>
  </si>
  <si>
    <t>CG87-469.10E.jpg</t>
  </si>
  <si>
    <t>GB fishing at Wolf Cove 1</t>
  </si>
  <si>
    <t>CG87-469.11E.jpg</t>
  </si>
  <si>
    <t>GB fishing at Wolf Cove 2</t>
  </si>
  <si>
    <t>CG87-478.02cropped.jpg</t>
  </si>
  <si>
    <t>Lighthouse Cove Formation and Grenvillian basement (duplicate)</t>
  </si>
  <si>
    <t>CG87-478.03E.jpg</t>
  </si>
  <si>
    <t>CG87-478.08cropped.jpg</t>
  </si>
  <si>
    <t>CG87-480.1cropped.jpg</t>
  </si>
  <si>
    <t>Bateau Formation sandstone (duplicate)</t>
  </si>
  <si>
    <t>CG87-483</t>
  </si>
  <si>
    <t>CG87-483E.jpg</t>
  </si>
  <si>
    <t>View of Lighthouse Cove Formation at CG87-480</t>
  </si>
  <si>
    <t>CG87-484.02cropped.jpg</t>
  </si>
  <si>
    <t>CG87-484.03E.jpg</t>
  </si>
  <si>
    <t>CG87-484.04E.jpg</t>
  </si>
  <si>
    <t>Community of Henley Harbour</t>
  </si>
  <si>
    <t>CG87-484.05E.jpg</t>
  </si>
  <si>
    <t>Columnar basalt of Lighthouse Cove Formation with TvN</t>
  </si>
  <si>
    <t>CG87-484.06E.jpg</t>
  </si>
  <si>
    <t>Henley Harbour area</t>
  </si>
  <si>
    <t>VN92-125</t>
  </si>
  <si>
    <t>VN92-125cropped.jpg</t>
  </si>
  <si>
    <t>VN92-139.2cropped.jpg</t>
  </si>
  <si>
    <t>VN92-161.3cropped.jpg</t>
  </si>
  <si>
    <t>Texture in Long Range dyke</t>
  </si>
  <si>
    <t>VN93-036.2.jpg</t>
  </si>
  <si>
    <t>Amphibolite dyke intruding Red Bay gabbronorite</t>
  </si>
  <si>
    <t>VN93-038.5.jpg</t>
  </si>
  <si>
    <t>VN93-038.2.jpg</t>
  </si>
  <si>
    <t>Orthopyroxene in Red Bay gabbronorite</t>
  </si>
  <si>
    <t>VN93-195.1.jpg</t>
  </si>
  <si>
    <t>Gneissic granite and fine-grained granite intruded by pegmatite vein</t>
  </si>
  <si>
    <t>VN93-195.2.jpg</t>
  </si>
  <si>
    <t>VN93-195.3.jpg</t>
  </si>
  <si>
    <t>VN93-198</t>
  </si>
  <si>
    <t>VN93-198.1.jpg</t>
  </si>
  <si>
    <t>Open M-folded foliation in strongly foliated granite</t>
  </si>
  <si>
    <t>VN93-198.2.jpg</t>
  </si>
  <si>
    <t>VN93-198.3.jpg</t>
  </si>
  <si>
    <t>Late, coarse-grained granite</t>
  </si>
  <si>
    <t>CG93-508</t>
  </si>
  <si>
    <t>CG93-508cropped.jpg</t>
  </si>
  <si>
    <t>CG93-561</t>
  </si>
  <si>
    <t>CG93-561.1cropped.jpg</t>
  </si>
  <si>
    <t>Nepheline syenite</t>
  </si>
  <si>
    <t>CG93-561.2cropped.jpg</t>
  </si>
  <si>
    <t>CG97-066.3.jpg</t>
  </si>
  <si>
    <t>HP92-011</t>
  </si>
  <si>
    <t>HP92-011.jpg</t>
  </si>
  <si>
    <t>Contact between pegmatite and medium-grained granite</t>
  </si>
  <si>
    <t>CG98-163</t>
  </si>
  <si>
    <t>CG98-163.2.jpg</t>
  </si>
  <si>
    <t>Horizontal jointing in pegmatite</t>
  </si>
  <si>
    <t>CG98-163.3.jpg</t>
  </si>
  <si>
    <t>Looking west from CG98-163</t>
  </si>
  <si>
    <t>VN92-181</t>
  </si>
  <si>
    <t>VN92-181.1.jpg</t>
  </si>
  <si>
    <t>Texture of Upper St. Lewis (east) monzonite</t>
  </si>
  <si>
    <t>VN92-187</t>
  </si>
  <si>
    <t>VN92-187.2.jpg</t>
  </si>
  <si>
    <t>VN92-187.1.jpg</t>
  </si>
  <si>
    <t>VN92-188</t>
  </si>
  <si>
    <t>VN92-188.jpg</t>
  </si>
  <si>
    <t>GM85-513</t>
  </si>
  <si>
    <t>GM85-513.2.jpg</t>
  </si>
  <si>
    <t>Well-banded, fine-grained metasedimentary gneiss</t>
  </si>
  <si>
    <t>GM85-513.1.jpg</t>
  </si>
  <si>
    <t>GM85-515.1.jpg</t>
  </si>
  <si>
    <t>CG80-019</t>
  </si>
  <si>
    <t>CG80-019.jpg</t>
  </si>
  <si>
    <t>Interlayered hornblende-rich and K-rich gneiss</t>
  </si>
  <si>
    <t>CG80-020</t>
  </si>
  <si>
    <t>CG80-020.jpg</t>
  </si>
  <si>
    <t>Schistose biotite granodiorite</t>
  </si>
  <si>
    <t>VN93-409</t>
  </si>
  <si>
    <t>VN93-409.1.jpg</t>
  </si>
  <si>
    <t>Thinly interlayered quartzite and muscovite biotite psammite</t>
  </si>
  <si>
    <t>VN93-409.2.jpg</t>
  </si>
  <si>
    <t>Thinly layered quartzite</t>
  </si>
  <si>
    <t>VN93-409.3.jpg</t>
  </si>
  <si>
    <t>VN93-410</t>
  </si>
  <si>
    <t>VN93-410.jpg</t>
  </si>
  <si>
    <t>K-feldspar porphyroclast in mylonitic biotite granite</t>
  </si>
  <si>
    <t>VN91-219</t>
  </si>
  <si>
    <t>VN91-219.jpg</t>
  </si>
  <si>
    <t>Concordant and discordant pegmatite intruding diorite/ quartz diorite</t>
  </si>
  <si>
    <t>VN91-220</t>
  </si>
  <si>
    <t>VN91-220.2.jpg</t>
  </si>
  <si>
    <t>Sharper contact between K-feldspar megacrystic and gneissic granite</t>
  </si>
  <si>
    <t>VN91-220.1.jpg</t>
  </si>
  <si>
    <t>Gradation(?) from K-feldspar megacrystic granite to gneissic granite</t>
  </si>
  <si>
    <t>MN86-344</t>
  </si>
  <si>
    <t>MN86-344E.jpg</t>
  </si>
  <si>
    <t>Cooper Head, between Bull Island and Hawke Bay</t>
  </si>
  <si>
    <t>MN86-368.2cropped.jpg</t>
  </si>
  <si>
    <t>MN86-378</t>
  </si>
  <si>
    <t>MN86-378E.jpg</t>
  </si>
  <si>
    <t>Gossan in amphibolite</t>
  </si>
  <si>
    <t>MN86-429</t>
  </si>
  <si>
    <t>MN86-429.2cropped.jpg</t>
  </si>
  <si>
    <t>K-feldspar megacrystic granodiorite grading into gneiss</t>
  </si>
  <si>
    <t>SN86-092</t>
  </si>
  <si>
    <t>SN86-092E.jpg</t>
  </si>
  <si>
    <t>Igneous layering in White Bear Arm gabbronorite: MH</t>
  </si>
  <si>
    <t>SN86-105</t>
  </si>
  <si>
    <t>SN86-105cropped.jpg</t>
  </si>
  <si>
    <t>Cordierite sillimanite metasedimentary gneiss</t>
  </si>
  <si>
    <t>SN86-154.2cropped.jpg</t>
  </si>
  <si>
    <t>VN91-114.2.jpg</t>
  </si>
  <si>
    <t>Two pegmatite generations intruding granite gneiss</t>
  </si>
  <si>
    <t>CG81-744</t>
  </si>
  <si>
    <t>CG81-744.1.jpg</t>
  </si>
  <si>
    <t>Boudinage neck at gabbro tonalite/granodiorite gneiss contact</t>
  </si>
  <si>
    <t>CG81-745</t>
  </si>
  <si>
    <t>CG81-745.jpg</t>
  </si>
  <si>
    <t>CG81-747</t>
  </si>
  <si>
    <t>CG81-747.jpg</t>
  </si>
  <si>
    <t>Garnet in tonalite/granodiorite gneiss</t>
  </si>
  <si>
    <t>CG81-748.1.jpg</t>
  </si>
  <si>
    <t>CG84-201</t>
  </si>
  <si>
    <t>CG84-201.jpg</t>
  </si>
  <si>
    <t>CG86-443</t>
  </si>
  <si>
    <t>CG86-443.1.jpg</t>
  </si>
  <si>
    <t>Homogeneous to well-banded  hornblende quartz diorite to granodiorite gneiss</t>
  </si>
  <si>
    <t>CG80-133.2E.jpg</t>
  </si>
  <si>
    <t>North side of Henrietta Island. looking west</t>
  </si>
  <si>
    <t>CG80-154.1E.jpg</t>
  </si>
  <si>
    <t>CG80-155.2E.jpg</t>
  </si>
  <si>
    <t>Nose of recumbent major fold (gravity? slide)</t>
  </si>
  <si>
    <t>CG80-156</t>
  </si>
  <si>
    <t>CG80-156.1E.jpg</t>
  </si>
  <si>
    <t>CG80-156.2E.jpg</t>
  </si>
  <si>
    <t>CG80-156.3E.jpg</t>
  </si>
  <si>
    <t>CG80-156.4cropped.jpg</t>
  </si>
  <si>
    <t>CG80-156.5E.jpg</t>
  </si>
  <si>
    <t>CG80-161</t>
  </si>
  <si>
    <t>CG80-161E.jpg</t>
  </si>
  <si>
    <t>Granodioritic gneiss with amphibolite intruded by microgranite dyke and deformed</t>
  </si>
  <si>
    <t>CG80-166</t>
  </si>
  <si>
    <t>CG80-166E.jpg</t>
  </si>
  <si>
    <t>Metadiabase truncating gneissosity in granodioritic gneiss</t>
  </si>
  <si>
    <t>CG80-168</t>
  </si>
  <si>
    <t>CG80-168E.jpg</t>
  </si>
  <si>
    <t>Granodioritic gneiss with isoclinal folds</t>
  </si>
  <si>
    <t>CG80-174</t>
  </si>
  <si>
    <t>CG80-174E.jpg</t>
  </si>
  <si>
    <t>Uniformly layered granodioritic gneiss</t>
  </si>
  <si>
    <t>CG80-219.2E.jpg</t>
  </si>
  <si>
    <t>Burnover, with Groswater Bay in background</t>
  </si>
  <si>
    <t>CG80-254</t>
  </si>
  <si>
    <t>CG80-254E.jpg</t>
  </si>
  <si>
    <t>Flaggy (mylonitic?) zone within more homogeneous deformed granodiorite</t>
  </si>
  <si>
    <t>CG80-266</t>
  </si>
  <si>
    <t>CG80-266E.jpg</t>
  </si>
  <si>
    <t>Ultramafic dyke in biotite granite</t>
  </si>
  <si>
    <t>CG80-287</t>
  </si>
  <si>
    <t>CG80-287cropped.jpg</t>
  </si>
  <si>
    <t>CG80-294.1cropped.jpg</t>
  </si>
  <si>
    <t>Folded mafic dyke in granodiorite/granite</t>
  </si>
  <si>
    <t>CG80-295</t>
  </si>
  <si>
    <t>CG80-295E.jpg</t>
  </si>
  <si>
    <t>Snook Cove area, with ducks in foreground</t>
  </si>
  <si>
    <t>CG80-306</t>
  </si>
  <si>
    <t>CG80-306E.jpg</t>
  </si>
  <si>
    <t>Well-banded straight (mylonitic)  tonalite to granodiorite gneiss</t>
  </si>
  <si>
    <t>CG80-323.2E.jpg</t>
  </si>
  <si>
    <t>CG80-325.2cropped.jpg</t>
  </si>
  <si>
    <t>Hornblende porphyroblasts in leucosome</t>
  </si>
  <si>
    <t>CG80-327</t>
  </si>
  <si>
    <t>CG80-327.1E.jpg</t>
  </si>
  <si>
    <t>Cuff Island area</t>
  </si>
  <si>
    <t>CG80-327.2E.jpg</t>
  </si>
  <si>
    <t>Cuff Island area 2</t>
  </si>
  <si>
    <t>CG80-327.3E.jpg</t>
  </si>
  <si>
    <t>Cuff Island area 3</t>
  </si>
  <si>
    <t>CG86-683.1.jpg</t>
  </si>
  <si>
    <t>VN92-108</t>
  </si>
  <si>
    <t>VN92-108.2.jpg</t>
  </si>
  <si>
    <t>VN92-108.3.jpg</t>
  </si>
  <si>
    <t>Coronitic gabbro</t>
  </si>
  <si>
    <t>VN92-108.5.jpg</t>
  </si>
  <si>
    <t>CG00-154.01.jpg</t>
  </si>
  <si>
    <t>Granodioritic/psammitic gneiss, geochronology sample site</t>
  </si>
  <si>
    <t>CG81-001.12.jpg</t>
  </si>
  <si>
    <t>Field crew, 1981</t>
  </si>
  <si>
    <t>VN84-339</t>
  </si>
  <si>
    <t>VN84-339.jpg</t>
  </si>
  <si>
    <t>VN91-372.5.jpg</t>
  </si>
  <si>
    <t>Gneissosity in deformed megacrystic granite</t>
  </si>
  <si>
    <t>VN91-372.3.jpg</t>
  </si>
  <si>
    <t>Subhedral K-feldspars in deformed megacrystic granite</t>
  </si>
  <si>
    <t>VN91-372.2.jpg</t>
  </si>
  <si>
    <t>CG82-030</t>
  </si>
  <si>
    <t>CG82-030cropped.jpg</t>
  </si>
  <si>
    <t>Smokey area</t>
  </si>
  <si>
    <t>PE82-149.1cropped.jpg</t>
  </si>
  <si>
    <t>Double Mer Formation cross beds 1</t>
  </si>
  <si>
    <t>MW82-023</t>
  </si>
  <si>
    <t>MW82-023E.jpg</t>
  </si>
  <si>
    <t>Zodiac on Lake Melville (1994 trip with DC; Red Bay to Goose Bay)</t>
  </si>
  <si>
    <t>CG83-012</t>
  </si>
  <si>
    <t>CG83-012cropped.jpg</t>
  </si>
  <si>
    <t>Ridge of Michael gabbro</t>
  </si>
  <si>
    <t>CG83-220.2cropped.jpg</t>
  </si>
  <si>
    <t>CG83-305.1cropped.jpg</t>
  </si>
  <si>
    <t>NN80-175.2.jpg</t>
  </si>
  <si>
    <t>NN80-175.3.jpg</t>
  </si>
  <si>
    <t>Contact between pegmatite and gneiss</t>
  </si>
  <si>
    <t>NN80-177</t>
  </si>
  <si>
    <t>NN80-177.jpg</t>
  </si>
  <si>
    <t>NN80-189.2.jpg</t>
  </si>
  <si>
    <t>K-feldspar megacrystic granodiorite and aplite dyke</t>
  </si>
  <si>
    <t>GF81-010</t>
  </si>
  <si>
    <t>GF81-010.jpg</t>
  </si>
  <si>
    <t>Folded pegmatite leucosomes intruding tonalite/granodiorite gneiss</t>
  </si>
  <si>
    <t>GF81-014</t>
  </si>
  <si>
    <t>GF81-014.1.jpg</t>
  </si>
  <si>
    <t>Metagabbro intruding tonalite/granodiorite gneiss</t>
  </si>
  <si>
    <t>GF81-014.2.jpg</t>
  </si>
  <si>
    <t>CG03-020</t>
  </si>
  <si>
    <t>CG03-020.jpg</t>
  </si>
  <si>
    <t>NN80-234</t>
  </si>
  <si>
    <t>NN80-234.2.jpg</t>
  </si>
  <si>
    <t>Two amphibolite types representing former dykes</t>
  </si>
  <si>
    <t>NN80-240</t>
  </si>
  <si>
    <t>NN80-240.2.jpg</t>
  </si>
  <si>
    <t>Open folds near deformation zone</t>
  </si>
  <si>
    <t>NN80-240.1.jpg</t>
  </si>
  <si>
    <t>NN80-243</t>
  </si>
  <si>
    <t>NN80-243.jpg</t>
  </si>
  <si>
    <t>Fold, and Mike Tubrett</t>
  </si>
  <si>
    <t>NN80-244</t>
  </si>
  <si>
    <t>NN80-244.2.jpg</t>
  </si>
  <si>
    <t>NN80-244.1.jpg</t>
  </si>
  <si>
    <t>NN80-252.1.jpg</t>
  </si>
  <si>
    <t>Discordant contact between mafic dyke and gneiss; dike contains zone of plagioclase phenocrysts</t>
  </si>
  <si>
    <t>NN84-158.3.jpg</t>
  </si>
  <si>
    <t>CG87-464.1.jpg</t>
  </si>
  <si>
    <t>Hornblende biotite granodiorite quartz monzonite</t>
  </si>
  <si>
    <t>SN86-262</t>
  </si>
  <si>
    <t>SN86-262.2.jpg</t>
  </si>
  <si>
    <t>Garnet (60 by 40 cm) in anorthositic mylonite</t>
  </si>
  <si>
    <t>SN86-262.1.jpg</t>
  </si>
  <si>
    <t>Sinistral (dextral?) rotation of porphyroclast</t>
  </si>
  <si>
    <t>SN86-269.1.jpg</t>
  </si>
  <si>
    <t>GM85-538.5.jpg</t>
  </si>
  <si>
    <t>CG79-801</t>
  </si>
  <si>
    <t>CG79-801.jpg</t>
  </si>
  <si>
    <t>Deformation in tonalitic/granodioritic gneiss marginal to amphibolite boudin</t>
  </si>
  <si>
    <t>CG79-806</t>
  </si>
  <si>
    <t>CG79-806.jpg</t>
  </si>
  <si>
    <t>Well developed lensy segregation fabric in tonalite to granodiorite gneiss</t>
  </si>
  <si>
    <t>CG07-158.3.jpg</t>
  </si>
  <si>
    <t>CG07-159</t>
  </si>
  <si>
    <t>CG07-159.1.jpg</t>
  </si>
  <si>
    <t>Phanerozoic diabase; green discoloration of pegmatite adjacent to dyke</t>
  </si>
  <si>
    <t>CG07-159.3.jpg</t>
  </si>
  <si>
    <t>Phanerozoic diabase dykelet (branch from main dyke)</t>
  </si>
  <si>
    <t>CG07-160</t>
  </si>
  <si>
    <t>CG07-160.1.jpg</t>
  </si>
  <si>
    <t>Cross-bedded calc-silicate rock</t>
  </si>
  <si>
    <t>CG07-160.2.jpg</t>
  </si>
  <si>
    <t>CG07-161</t>
  </si>
  <si>
    <t>CG07-161.1.jpg</t>
  </si>
  <si>
    <t>Branching pegmatite</t>
  </si>
  <si>
    <t>CG07-161.2.jpg</t>
  </si>
  <si>
    <t>Fault breccia and offset pegmatite</t>
  </si>
  <si>
    <t>CG07-162.1.jpg</t>
  </si>
  <si>
    <t>DL93-359</t>
  </si>
  <si>
    <t>DL93-359.jpg</t>
  </si>
  <si>
    <t>Fine-grained siliceous rock of probable supracrustal origin</t>
  </si>
  <si>
    <t>DL93-368</t>
  </si>
  <si>
    <t>DL93-368.jpg</t>
  </si>
  <si>
    <t>VN91-195</t>
  </si>
  <si>
    <t>VN91-195.1.jpg</t>
  </si>
  <si>
    <t>Strongly foliated biotite (with minor hornblende) granite</t>
  </si>
  <si>
    <t>DD91-020</t>
  </si>
  <si>
    <t>DD91-020.jpg</t>
  </si>
  <si>
    <t>DD91-021</t>
  </si>
  <si>
    <t>DD91-021.2.jpg</t>
  </si>
  <si>
    <t>DD91-021.1.jpg</t>
  </si>
  <si>
    <t>DD91-022</t>
  </si>
  <si>
    <t>DD91-022.jpg</t>
  </si>
  <si>
    <t>DD91-023</t>
  </si>
  <si>
    <t>DD91-023.jpg</t>
  </si>
  <si>
    <t>Strongly foliated granite/granitic gneiss</t>
  </si>
  <si>
    <t>DD91-024</t>
  </si>
  <si>
    <t>DD91-024.jpg</t>
  </si>
  <si>
    <t>Metasedimentary gneiss enclave in pegmatite</t>
  </si>
  <si>
    <t>CG87-433.2.jpg</t>
  </si>
  <si>
    <t>Hornblendite vein with leucocratic margin</t>
  </si>
  <si>
    <t>CG99-008</t>
  </si>
  <si>
    <t>CG99-008.2.jpg</t>
  </si>
  <si>
    <t>shearing in recrystallized anorthosite</t>
  </si>
  <si>
    <t>CG98-283</t>
  </si>
  <si>
    <t>CG98-283.jpg</t>
  </si>
  <si>
    <t>Metagabbro / metaleucogabbro showing segregations and intruded by pegmatite</t>
  </si>
  <si>
    <t>AD79-058.1E.jpg</t>
  </si>
  <si>
    <t>Granodiorite pods in granite to quartz monzonite</t>
  </si>
  <si>
    <t>CG79-080</t>
  </si>
  <si>
    <t>CG79-080cropped.jpg</t>
  </si>
  <si>
    <t>Migmatitic granitoid rocks</t>
  </si>
  <si>
    <t>CG79-090</t>
  </si>
  <si>
    <t>CG79-090E.jpg</t>
  </si>
  <si>
    <t>Pamiulik Bay from east</t>
  </si>
  <si>
    <t>CG79-093</t>
  </si>
  <si>
    <t>CG79-093E.jpg</t>
  </si>
  <si>
    <t>Bear Island and Double Island from north side of Mount Benedict</t>
  </si>
  <si>
    <t>CG79-096</t>
  </si>
  <si>
    <t>CG79-096.1E.jpg</t>
  </si>
  <si>
    <t>Tuchialik Bay from north side of Mount Benedict</t>
  </si>
  <si>
    <t>CG79-096.2E.jpg</t>
  </si>
  <si>
    <t>Dog Islands from north side of Mount Benedict</t>
  </si>
  <si>
    <t>CG79-113</t>
  </si>
  <si>
    <t>CG79-113cropped.jpg</t>
  </si>
  <si>
    <t>Two ages of shearing in granite</t>
  </si>
  <si>
    <t>CG79-118.1cropped.jpg</t>
  </si>
  <si>
    <t>Composite mafic-felsic dyke in granite</t>
  </si>
  <si>
    <t>VN92-223.1cropped.jpg</t>
  </si>
  <si>
    <t>CG92-088</t>
  </si>
  <si>
    <t>CG92-088E.jpg</t>
  </si>
  <si>
    <t>Area in the vicinity of Kyfanan Lake (location approximate)</t>
  </si>
  <si>
    <t>CG92-112.2E.jpg</t>
  </si>
  <si>
    <t>GB (pilot) fishing</t>
  </si>
  <si>
    <t>CG92-130</t>
  </si>
  <si>
    <t>CG92-130E.jpg</t>
  </si>
  <si>
    <t>Patchy forest and wetlands in northeast part of 13A04 (2 km E of CG92-130 looking S)</t>
  </si>
  <si>
    <t>HP92-051</t>
  </si>
  <si>
    <t>HP92-051E.jpg</t>
  </si>
  <si>
    <t>Wetlands on the east side of Kyfanan Lake (HP92-051 in foreground looking S)</t>
  </si>
  <si>
    <t>HP92-082.4E.jpg</t>
  </si>
  <si>
    <t>Folded foliation in granitoid rock with later veins</t>
  </si>
  <si>
    <t>HP92-143.4E.jpg</t>
  </si>
  <si>
    <t>Canada geese on St. Paul River</t>
  </si>
  <si>
    <t>HP92-143.6E.jpg</t>
  </si>
  <si>
    <t>Beaver or otter on St. Paul River</t>
  </si>
  <si>
    <t>HP92-143.9E.jpg</t>
  </si>
  <si>
    <t>St. Paul River</t>
  </si>
  <si>
    <t>JA92-120.2E.jpg</t>
  </si>
  <si>
    <t>JA92-124.5E.jpg</t>
  </si>
  <si>
    <t>St Paul River</t>
  </si>
  <si>
    <t>VN92-197.15E.jpg</t>
  </si>
  <si>
    <t>Waterfall on tributary joining St. Paul River</t>
  </si>
  <si>
    <t>VN92-308.2E.jpg</t>
  </si>
  <si>
    <t>JA92-057</t>
  </si>
  <si>
    <t>JA92-057E.jpg</t>
  </si>
  <si>
    <t>CG93-698.1cropped.jpg</t>
  </si>
  <si>
    <t>CG93-732.3cropped.jpg</t>
  </si>
  <si>
    <t>Mafic dyke discordantly intruding banded mafic rocks of possible supracrustal origin</t>
  </si>
  <si>
    <t>CG93-739</t>
  </si>
  <si>
    <t>CG93-739.1cropped.jpg</t>
  </si>
  <si>
    <t>CG93-739.2cropped.jpg</t>
  </si>
  <si>
    <t>Stretched plagioclase phenocrysts in mafic dyke</t>
  </si>
  <si>
    <t>CG93-739.3cropped.jpg</t>
  </si>
  <si>
    <t>Plagioclase phenocrysts in amphibolite</t>
  </si>
  <si>
    <t>CG93-774.1cropped.jpg</t>
  </si>
  <si>
    <t>Lighthouse Cove Formation, Castle Island</t>
  </si>
  <si>
    <t>DL93-001</t>
  </si>
  <si>
    <t>DL93-001cropped.jpg</t>
  </si>
  <si>
    <t>Mafic-mineral depleted halos around titanite and magnetite</t>
  </si>
  <si>
    <t>VN93-033.02cropped.jpg</t>
  </si>
  <si>
    <t>VN93-277.2cropped.jpg</t>
  </si>
  <si>
    <t>Hornblende grains replaced by chlorite in Lower Pinware River alkali-feldspar syenite</t>
  </si>
  <si>
    <t>VN93-359</t>
  </si>
  <si>
    <t>VN93-359cropped.jpg</t>
  </si>
  <si>
    <t>Very coarse-grained hornblende biotite Picton Pond quartz monzonite</t>
  </si>
  <si>
    <t>VN93-562.2cropped.jpg</t>
  </si>
  <si>
    <t>Cross-bedded quartzite</t>
  </si>
  <si>
    <t>VN93-596.1cropped.jpg</t>
  </si>
  <si>
    <t>VN93-661.11cropped.jpg</t>
  </si>
  <si>
    <t>VN93-662.03cropped.jpg</t>
  </si>
  <si>
    <t>Discordant, fine-grained mafic dykes</t>
  </si>
  <si>
    <t>CG93-022</t>
  </si>
  <si>
    <t>CG93-022E.jpg</t>
  </si>
  <si>
    <t>View of Red Bay Harbour from the west</t>
  </si>
  <si>
    <t>CG93-026.3E.jpg</t>
  </si>
  <si>
    <t>CG93-034.4E.jpg</t>
  </si>
  <si>
    <t>CG80-344</t>
  </si>
  <si>
    <t>CG80-344E.jpg</t>
  </si>
  <si>
    <t>Rock sculptures formed by weathering</t>
  </si>
  <si>
    <t>CG80-345.1cropped.jpg</t>
  </si>
  <si>
    <t>CG80-345.3cropped.jpg</t>
  </si>
  <si>
    <t>CG80-348.2E.jpg</t>
  </si>
  <si>
    <t>Isoclinally folded mafic dyke truncating gneissosity</t>
  </si>
  <si>
    <t>CG80-350.03cropped.jpg</t>
  </si>
  <si>
    <t>Plagioclase phenocrysts in mafic dyke</t>
  </si>
  <si>
    <t>JA92-116</t>
  </si>
  <si>
    <t>JA92-116.4.jpg</t>
  </si>
  <si>
    <t>Upper St. Paul River (west) monzonite</t>
  </si>
  <si>
    <t>JA92-116.7.jpg</t>
  </si>
  <si>
    <t>Granitic vein</t>
  </si>
  <si>
    <t>JA92-116.6.jpg</t>
  </si>
  <si>
    <t>Metamorphosed mafic to anorthositic rock</t>
  </si>
  <si>
    <t>JA92-116.5.jpg</t>
  </si>
  <si>
    <t>Gneissic material in leucogabbro/anorthosite</t>
  </si>
  <si>
    <t>JA92-116.3.jpg</t>
  </si>
  <si>
    <t>Granite vein intruding monzonite</t>
  </si>
  <si>
    <t>JA92-116.2E.jpg</t>
  </si>
  <si>
    <t>Monzonite at margin of St. Paul River</t>
  </si>
  <si>
    <t>JA92-116.1E.jpg</t>
  </si>
  <si>
    <t>JA92-117</t>
  </si>
  <si>
    <t>JA92-117.jpg</t>
  </si>
  <si>
    <t>Xenolith in Upper St. Paul River (west) monzonite</t>
  </si>
  <si>
    <t>JA92-118</t>
  </si>
  <si>
    <t>JA92-118.jpg</t>
  </si>
  <si>
    <t>Foliated anorthosite</t>
  </si>
  <si>
    <t>CG82-027.4.jpg</t>
  </si>
  <si>
    <t>Pottles Bay intrusion, on coast, north side</t>
  </si>
  <si>
    <t>CG83-277.3.jpg</t>
  </si>
  <si>
    <t>CG84-172.09.jpg</t>
  </si>
  <si>
    <t>Boudinaged end of mafic dyke</t>
  </si>
  <si>
    <t>CG85-622</t>
  </si>
  <si>
    <t>CG85-622.1.jpg</t>
  </si>
  <si>
    <t>Granite intruded by mafic dyke</t>
  </si>
  <si>
    <t>CG85-622.4.jpg</t>
  </si>
  <si>
    <t>Granite with mafic dyke</t>
  </si>
  <si>
    <t>CG85-639</t>
  </si>
  <si>
    <t>CG85-639.jpg</t>
  </si>
  <si>
    <t>K-feldspar megacrystic diorite</t>
  </si>
  <si>
    <t>CG85-641</t>
  </si>
  <si>
    <t>CG85-641.2.jpg</t>
  </si>
  <si>
    <t>Hornblende quartz diorite</t>
  </si>
  <si>
    <t>CG85-641.1.jpg</t>
  </si>
  <si>
    <t>CG85-644.3.jpg</t>
  </si>
  <si>
    <t>Mafic dyke intruded by pegmatite in hornblende quartz diorite</t>
  </si>
  <si>
    <t>CG85-644.4.jpg</t>
  </si>
  <si>
    <t>Mafic dyke with deformed pegmatite</t>
  </si>
  <si>
    <t>NN80-071</t>
  </si>
  <si>
    <t>NN80-071.jpg</t>
  </si>
  <si>
    <t>K-feldspar megacrystic hornblende-bearing granodiorite</t>
  </si>
  <si>
    <t>NN80-072</t>
  </si>
  <si>
    <t>NN80-072.jpg</t>
  </si>
  <si>
    <t>Faulted amphibolite dyke, with pegmatite in fault plane</t>
  </si>
  <si>
    <t>NN80-074</t>
  </si>
  <si>
    <t>NN80-074.2.jpg</t>
  </si>
  <si>
    <t>Pegmatite injected along fault plane</t>
  </si>
  <si>
    <t>NN80-074.1.jpg</t>
  </si>
  <si>
    <t>Abundant, large garnet in amphibolite</t>
  </si>
  <si>
    <t>NN80-078</t>
  </si>
  <si>
    <t>NN80-078.jpg</t>
  </si>
  <si>
    <t>Amphibolite dyke discordant to gneissosity</t>
  </si>
  <si>
    <t>SN86-286.2.jpg</t>
  </si>
  <si>
    <t>SN86-290</t>
  </si>
  <si>
    <t>SN86-290.jpg</t>
  </si>
  <si>
    <t>Garnet enveloped in decompression(/) reaction rims</t>
  </si>
  <si>
    <t>SN86-296</t>
  </si>
  <si>
    <t>SN86-296.1.jpg</t>
  </si>
  <si>
    <t>K-feldspar megacrystic granodiorite with enclaves intruded by granite</t>
  </si>
  <si>
    <t>SN86-296.2.jpg</t>
  </si>
  <si>
    <t>SN86-299</t>
  </si>
  <si>
    <t>SN86-299.jpg</t>
  </si>
  <si>
    <t>Brittle fault and quartz vein</t>
  </si>
  <si>
    <t>SN86-300</t>
  </si>
  <si>
    <t>SN86-300.jpg</t>
  </si>
  <si>
    <t>SN86-303</t>
  </si>
  <si>
    <t>SN86-303.jpg</t>
  </si>
  <si>
    <t>SN86-308</t>
  </si>
  <si>
    <t>SN86-308.1.jpg</t>
  </si>
  <si>
    <t>K-feldspar megacrystic granodiorite with mafic enclaves containing large K-feldspars</t>
  </si>
  <si>
    <t>CG87-419</t>
  </si>
  <si>
    <t>CG87-419.jpg</t>
  </si>
  <si>
    <t>Banded metasedimentary gneiss with mafic dyke</t>
  </si>
  <si>
    <t>SN86-438.2.jpg</t>
  </si>
  <si>
    <t>SN86-441</t>
  </si>
  <si>
    <t>SN86-441.1.jpg</t>
  </si>
  <si>
    <t>Mylonitic granodiorite with amphibolite dykes</t>
  </si>
  <si>
    <t>SN86-441.2.jpg</t>
  </si>
  <si>
    <t>CG97-061</t>
  </si>
  <si>
    <t>CG97-061.1.jpg</t>
  </si>
  <si>
    <t>CG97-066.7.jpg</t>
  </si>
  <si>
    <t>MD (pilot)</t>
  </si>
  <si>
    <t>CG97-066.4.jpg</t>
  </si>
  <si>
    <t>CG79-059</t>
  </si>
  <si>
    <t>CG79-059.1E.jpg</t>
  </si>
  <si>
    <t>Benedict Mountains and shoreline to north</t>
  </si>
  <si>
    <t>CG79-059.2E.jpg</t>
  </si>
  <si>
    <t>CG79-059.3E.jpg</t>
  </si>
  <si>
    <t>Benedict Mountains looking west from south end of Double Island; Robin Burry</t>
  </si>
  <si>
    <t>CG79-065.1cropped.jpg</t>
  </si>
  <si>
    <t>Felsic volcanic rocks intruded by granite</t>
  </si>
  <si>
    <t>CG79-073</t>
  </si>
  <si>
    <t>CG79-073cropped.jpg</t>
  </si>
  <si>
    <t>GF81-003.2E.jpg</t>
  </si>
  <si>
    <t>VO81-538</t>
  </si>
  <si>
    <t>VO81-538.jpg</t>
  </si>
  <si>
    <t>VO92-020.4E.jpg</t>
  </si>
  <si>
    <t>CG84-442.8.jpg</t>
  </si>
  <si>
    <t>CG87-491.3.jpg</t>
  </si>
  <si>
    <t>CG87-492.2.jpg</t>
  </si>
  <si>
    <t>MN86-429.1.jpg</t>
  </si>
  <si>
    <t>Gneiss intruded by microgranite then pegmatite</t>
  </si>
  <si>
    <t>MN86-438</t>
  </si>
  <si>
    <t>MN86-438.jpg</t>
  </si>
  <si>
    <t>Strongly deformed porphyroclastic/megacrystic granodiorite</t>
  </si>
  <si>
    <t>GM85-652</t>
  </si>
  <si>
    <t>GM85-652.3.jpg</t>
  </si>
  <si>
    <t>Contact between K-feldspar megacrystic diorite and hornblende monzodiorite</t>
  </si>
  <si>
    <t>GM85-652.1.jpg</t>
  </si>
  <si>
    <t>GM85-652.2.jpg</t>
  </si>
  <si>
    <t>GM85-652.4.jpg</t>
  </si>
  <si>
    <t>GM85-653.3.jpg</t>
  </si>
  <si>
    <t>CG80-008</t>
  </si>
  <si>
    <t>CG80-008.1.jpg</t>
  </si>
  <si>
    <t>Open folds in gneiss</t>
  </si>
  <si>
    <t>CG80-009</t>
  </si>
  <si>
    <t>CG80-009.jpg</t>
  </si>
  <si>
    <t>Flaggy garnet biotite quartz plagioclase metasedimentary gneiss</t>
  </si>
  <si>
    <t>CG80-010</t>
  </si>
  <si>
    <t>CG80-010.jpg</t>
  </si>
  <si>
    <t>Blue-green staining - phyllosilicate alteration</t>
  </si>
  <si>
    <t>DD91-091.2.jpg</t>
  </si>
  <si>
    <t>K-feldspar megacrystic granite intruded by granitic vein</t>
  </si>
  <si>
    <t>CG81-314.7.jpg</t>
  </si>
  <si>
    <t>CG81-314.6.jpg</t>
  </si>
  <si>
    <t>CG95-239.2.jpg</t>
  </si>
  <si>
    <t>CG03-182</t>
  </si>
  <si>
    <t>CG03-182.jpg</t>
  </si>
  <si>
    <t>CG79-340.4.jpg</t>
  </si>
  <si>
    <t>Tonalitic/granodioritic gneiss intruded by mafic dyke</t>
  </si>
  <si>
    <t>DD91-094.2.jpg</t>
  </si>
  <si>
    <t>DD91-094.1.jpg</t>
  </si>
  <si>
    <t>DD91-095</t>
  </si>
  <si>
    <t>DD91-095.1.jpg</t>
  </si>
  <si>
    <t>K-feldspar megacrystic quartz monzonite</t>
  </si>
  <si>
    <t>DD91-095.2.jpg</t>
  </si>
  <si>
    <t>Strongly foliated to mylonitic monzonite</t>
  </si>
  <si>
    <t>DD91-097.1.jpg</t>
  </si>
  <si>
    <t>VN92-003.2.jpg</t>
  </si>
  <si>
    <t>Granodiorite intruded by granite vein</t>
  </si>
  <si>
    <t>VN92-014</t>
  </si>
  <si>
    <t>VN92-014.jpg</t>
  </si>
  <si>
    <t>Texture of granodiorite</t>
  </si>
  <si>
    <t>VN92-037.1.jpg</t>
  </si>
  <si>
    <t>SN86-432.1.jpg</t>
  </si>
  <si>
    <t>K-feldspar porphyroblasts in gneiss</t>
  </si>
  <si>
    <t>SN86-432.2.jpg</t>
  </si>
  <si>
    <t>SN86-405.1.jpg</t>
  </si>
  <si>
    <t>CG81-040</t>
  </si>
  <si>
    <t>CG81-040.jpg</t>
  </si>
  <si>
    <t>Coarse-grained Earl Island diorite</t>
  </si>
  <si>
    <t>CG81-042</t>
  </si>
  <si>
    <t>CG81-042.jpg</t>
  </si>
  <si>
    <t>Coarse-grained Earl Island diorite intruded by mafic dyke then pegmatite</t>
  </si>
  <si>
    <t>GM85-506.3.jpg</t>
  </si>
  <si>
    <t>CG00-154.07.jpg</t>
  </si>
  <si>
    <t>Geochronology site for well-banded gneiss</t>
  </si>
  <si>
    <t>CG00-154.08.jpg</t>
  </si>
  <si>
    <t>Contact between K-feldspar megacrystic unit and well-banded gneiss</t>
  </si>
  <si>
    <t>CG00-154.09.jpg</t>
  </si>
  <si>
    <t>DM and AW</t>
  </si>
  <si>
    <t>CG00-234</t>
  </si>
  <si>
    <t>CG00-234.jpg</t>
  </si>
  <si>
    <t>Foliated to gneissic biotite granite to granodiorite</t>
  </si>
  <si>
    <t>CG00-236</t>
  </si>
  <si>
    <t>CG00-236.jpg</t>
  </si>
  <si>
    <t>Late- to post-Grenvillian granite, Upper St. Augustin pluton</t>
  </si>
  <si>
    <t>CG00-241</t>
  </si>
  <si>
    <t>CG00-241.jpg</t>
  </si>
  <si>
    <t>Foliated to gneissic biotite granodiorite</t>
  </si>
  <si>
    <t>CG00-243</t>
  </si>
  <si>
    <t>CG00-243.jpg</t>
  </si>
  <si>
    <t>JS86-089</t>
  </si>
  <si>
    <t>JS86-089.jpg</t>
  </si>
  <si>
    <t>Relict primary layering in gabbronorite</t>
  </si>
  <si>
    <t>JS86-104</t>
  </si>
  <si>
    <t>JS86-104.jpg</t>
  </si>
  <si>
    <t>Original and pseudomorphed cordierite in metasedimentary gneiss</t>
  </si>
  <si>
    <t>NN84-293.3.jpg</t>
  </si>
  <si>
    <t>VN93-235</t>
  </si>
  <si>
    <t>VN93-235.2.jpg</t>
  </si>
  <si>
    <t>Strongly foliated, K-feldspar megacrystic granite/granodiorite</t>
  </si>
  <si>
    <t>VN93-235.1.jpg</t>
  </si>
  <si>
    <t>Strongly foliated megacrystic granite intruded by pegmatite and then aplite</t>
  </si>
  <si>
    <t>CG92-154</t>
  </si>
  <si>
    <t>CG92-154.jpg</t>
  </si>
  <si>
    <t>Recrystallized granite with sinistrally deformed amphibolite</t>
  </si>
  <si>
    <t>CG92-155</t>
  </si>
  <si>
    <t>CG92-155.jpg</t>
  </si>
  <si>
    <t>Strongly foliated biotite granite with concordant amphibolite layers</t>
  </si>
  <si>
    <t>CG92-160.2.jpg</t>
  </si>
  <si>
    <t>CG84-204</t>
  </si>
  <si>
    <t>CG84-204.2.jpg</t>
  </si>
  <si>
    <t>Sheared K-feldspar megacrystic granodiorite</t>
  </si>
  <si>
    <t>CG84-204.1.jpg</t>
  </si>
  <si>
    <t>CG84-208</t>
  </si>
  <si>
    <t>CG84-208.jpg</t>
  </si>
  <si>
    <t>Homogeneous, non-megacrystic granodiorite</t>
  </si>
  <si>
    <t>CG84-216</t>
  </si>
  <si>
    <t>CG84-216.jpg</t>
  </si>
  <si>
    <t>Anorthosite enclave in granodiorite</t>
  </si>
  <si>
    <t>CG84-217</t>
  </si>
  <si>
    <t>CG84-217.jpg</t>
  </si>
  <si>
    <t>Gneiss (ortho?) intruded by buckled pegmatite</t>
  </si>
  <si>
    <t>CG84-241.2.jpg</t>
  </si>
  <si>
    <t>CG84-241.1.jpg</t>
  </si>
  <si>
    <t>CG85-654.6.jpg</t>
  </si>
  <si>
    <t>CG85-654.4.jpg</t>
  </si>
  <si>
    <t>CG85-654.7.jpg</t>
  </si>
  <si>
    <t>Mafic dyke intruding tonalitic/granodioritic gneiss</t>
  </si>
  <si>
    <t>CG85-654.3.jpg</t>
  </si>
  <si>
    <t>CG86-001</t>
  </si>
  <si>
    <t>CG86-001.1.jpg</t>
  </si>
  <si>
    <t>CG on outcrop</t>
  </si>
  <si>
    <t>CG86-001.2.jpg</t>
  </si>
  <si>
    <t>Granodiorite-tonalite gneiss with leucosome parting</t>
  </si>
  <si>
    <t>CG86-002</t>
  </si>
  <si>
    <t>CG86-002.jpg</t>
  </si>
  <si>
    <t>Mafic dyke truncating gneissosity and subsequently deformed</t>
  </si>
  <si>
    <t>CG86-008</t>
  </si>
  <si>
    <t>CG86-008.jpg</t>
  </si>
  <si>
    <t>Segregation banding in amphibolite oblique to the original foliation</t>
  </si>
  <si>
    <t>VN93-413</t>
  </si>
  <si>
    <t>VN93-413.jpg</t>
  </si>
  <si>
    <t>Felsic lenses in amphibolite and dioritic rocks</t>
  </si>
  <si>
    <t>CG87-438</t>
  </si>
  <si>
    <t>CG87-438cropped.jpg</t>
  </si>
  <si>
    <t>Banded felsic rocks (of supracrustal origin?)</t>
  </si>
  <si>
    <t>CG87-441.1cropped.jpg</t>
  </si>
  <si>
    <t>CG87-442E.jpg</t>
  </si>
  <si>
    <t>Fog at Table Head</t>
  </si>
  <si>
    <t>CG87-445.2cropped.jpg</t>
  </si>
  <si>
    <t>CG87-448</t>
  </si>
  <si>
    <t>CG87-448E.jpg</t>
  </si>
  <si>
    <t>Synform with dioritic gneiss core and granite on limbs</t>
  </si>
  <si>
    <t>CG87-450</t>
  </si>
  <si>
    <t>CG87-450.1E.jpg</t>
  </si>
  <si>
    <t>JD and community of Cape Charles</t>
  </si>
  <si>
    <t>CG87-450.2E.jpg</t>
  </si>
  <si>
    <t>CG87-450.3E.jpg</t>
  </si>
  <si>
    <t>CG87-450.4E.jpg</t>
  </si>
  <si>
    <t>Foliated granite with numerous amphibolite (dyke?) layers</t>
  </si>
  <si>
    <t>CG87-461.2cropped.jpg</t>
  </si>
  <si>
    <t>CG87-469.06E.jpg</t>
  </si>
  <si>
    <t>JA at Wolf Cove</t>
  </si>
  <si>
    <t>CG87-469.07E.jpg</t>
  </si>
  <si>
    <t>VP at Wolf Cove</t>
  </si>
  <si>
    <t>VN92-181.2cropped.jpg</t>
  </si>
  <si>
    <t>VN92-197.08cropped.jpg</t>
  </si>
  <si>
    <t>VN92-207.2cropped.jpg</t>
  </si>
  <si>
    <t>VN93-104.6.jpg</t>
  </si>
  <si>
    <t>VN93-104.1.jpg</t>
  </si>
  <si>
    <t>Foliated coarse-grained granite</t>
  </si>
  <si>
    <t>CG79-263</t>
  </si>
  <si>
    <t>CG79-263.3.jpg</t>
  </si>
  <si>
    <t>contact between tonalite/granodiorite and granite</t>
  </si>
  <si>
    <t>CG79-263.4.jpg</t>
  </si>
  <si>
    <t>CG79-263.5.jpg</t>
  </si>
  <si>
    <t>Net-veined mafic dyke in tonalite/granodiorite</t>
  </si>
  <si>
    <t>CG79-263.2.jpg</t>
  </si>
  <si>
    <t>Granite intruding tonalite/granodiorite</t>
  </si>
  <si>
    <t>CG79-266.3.jpg</t>
  </si>
  <si>
    <t>Brecciated mafic dykes</t>
  </si>
  <si>
    <t>VN92-161.1.jpg</t>
  </si>
  <si>
    <t>VN92-161.7.jpg</t>
  </si>
  <si>
    <t>VN92-161.2.jpg</t>
  </si>
  <si>
    <t>SN86-308.2.jpg</t>
  </si>
  <si>
    <t>SN86-309.1.jpg</t>
  </si>
  <si>
    <t>NN80-081</t>
  </si>
  <si>
    <t>NN80-081.jpg</t>
  </si>
  <si>
    <t>NN80-085</t>
  </si>
  <si>
    <t>NN80-085.jpg</t>
  </si>
  <si>
    <t>Slickensides in K-feldspar megacrystic granodiorite</t>
  </si>
  <si>
    <t>NN80-089.2.jpg</t>
  </si>
  <si>
    <t>Leucosome pods, deformed in shear zone</t>
  </si>
  <si>
    <t>CG86-682.2.jpg</t>
  </si>
  <si>
    <t>VN91-195.2.jpg</t>
  </si>
  <si>
    <t>CG87-492.3.jpg</t>
  </si>
  <si>
    <t>Contact between metasedimentary gneiss and granite; contact discordantly intruded by granite</t>
  </si>
  <si>
    <t>CG87-493</t>
  </si>
  <si>
    <t>CG87-493.jpg</t>
  </si>
  <si>
    <t>Mafic dyke discordantly intruding contact between granite and metasedimentary gneiss</t>
  </si>
  <si>
    <t>CG87-497</t>
  </si>
  <si>
    <t>CG87-497.jpg</t>
  </si>
  <si>
    <t>CG87-502.2.jpg</t>
  </si>
  <si>
    <t>CG87-563.2.jpg</t>
  </si>
  <si>
    <t>Layered amphibolitic intrusion</t>
  </si>
  <si>
    <t>CG87-563.1.jpg</t>
  </si>
  <si>
    <t>CG00-219.2.jpg</t>
  </si>
  <si>
    <t>Streaky texture in biotite granite</t>
  </si>
  <si>
    <t>CG00-221.1.jpg</t>
  </si>
  <si>
    <t>Quartzite with granitic melt</t>
  </si>
  <si>
    <t>CG00-221.2.jpg</t>
  </si>
  <si>
    <t>CG00-221.3.jpg</t>
  </si>
  <si>
    <t>CG00-221.5.jpg</t>
  </si>
  <si>
    <t>CG00-255</t>
  </si>
  <si>
    <t>CG00-255.jpg</t>
  </si>
  <si>
    <t>CG00-258</t>
  </si>
  <si>
    <t>CG00-258.jpg</t>
  </si>
  <si>
    <t>Granodioritic gneiss intruded by massive late-stage granitic dykes</t>
  </si>
  <si>
    <t>CG00-271.1.jpg</t>
  </si>
  <si>
    <t>VN91-266.1.jpg</t>
  </si>
  <si>
    <t>Sheared biotite-sillimanite-garnet metasedimentary gneiss</t>
  </si>
  <si>
    <t>SP85-133.2.jpg</t>
  </si>
  <si>
    <t>Icebergs in the Spotted Island area 2</t>
  </si>
  <si>
    <t>CG85-492</t>
  </si>
  <si>
    <t>CG85-492.2.jpg</t>
  </si>
  <si>
    <t>Older, net-veined mafic dyke</t>
  </si>
  <si>
    <t>VO81-002</t>
  </si>
  <si>
    <t>VO81-002.jpg</t>
  </si>
  <si>
    <t>CG95-206.2.jpg</t>
  </si>
  <si>
    <t>DD91-136.1.jpg</t>
  </si>
  <si>
    <t>DE91-089</t>
  </si>
  <si>
    <t>DE91-089.jpg</t>
  </si>
  <si>
    <t>HP92-058.2.jpg</t>
  </si>
  <si>
    <t>VN93-526</t>
  </si>
  <si>
    <t>VN93-526.1.jpg</t>
  </si>
  <si>
    <t>Thinly layered, quartz-rich psammitic gneiss</t>
  </si>
  <si>
    <t>VN93-562.1.jpg</t>
  </si>
  <si>
    <t>Banded quartzite, near closure of F1 fold</t>
  </si>
  <si>
    <t>VN93-243</t>
  </si>
  <si>
    <t>VN93-243.jpg</t>
  </si>
  <si>
    <t>Moderately foliated K-feldspar megacrystic granodiorite to granite</t>
  </si>
  <si>
    <t>VN93-246</t>
  </si>
  <si>
    <t>VN93-246.3.jpg</t>
  </si>
  <si>
    <t>Granodiorite dyke sinistrally offset along vein; within K-feldspar megacrystic granite</t>
  </si>
  <si>
    <t>VN93-246.1.jpg</t>
  </si>
  <si>
    <t>Foliated megacrystic granite</t>
  </si>
  <si>
    <t>VN93-246.2.jpg</t>
  </si>
  <si>
    <t>Concordant amphibolite dyke(?) in K-feldspar megacrystic granite</t>
  </si>
  <si>
    <t>CG79-918.1.jpg</t>
  </si>
  <si>
    <t>CG97-299.3.jpg</t>
  </si>
  <si>
    <t>CG97-300.4.jpg</t>
  </si>
  <si>
    <t>CG97-300.3.jpg</t>
  </si>
  <si>
    <t>CG87-471</t>
  </si>
  <si>
    <t>CG87-471.jpg</t>
  </si>
  <si>
    <t>Early buckled pegmatite and later discordant pegmatite in foliated granite</t>
  </si>
  <si>
    <t>CG87-477.2.jpg</t>
  </si>
  <si>
    <t>CG03-029.1.jpg</t>
  </si>
  <si>
    <t>Nepheline (brown) in nepheline syenite</t>
  </si>
  <si>
    <t>CG03-033</t>
  </si>
  <si>
    <t>CG03-033.jpg</t>
  </si>
  <si>
    <t>Psammitic gneiss and schistose pelitic layer</t>
  </si>
  <si>
    <t>CG03-035</t>
  </si>
  <si>
    <t>CG03-035.jpg</t>
  </si>
  <si>
    <t>Road between Red Bay and Lodge and lake</t>
  </si>
  <si>
    <t>CG03-038</t>
  </si>
  <si>
    <t>CG03-038.jpg</t>
  </si>
  <si>
    <t>CG03-039</t>
  </si>
  <si>
    <t>CG03-039.jpg</t>
  </si>
  <si>
    <t>K-fs megacrystic granite with mafic dyke</t>
  </si>
  <si>
    <t>CG03-042</t>
  </si>
  <si>
    <t>CG03-042.jpg</t>
  </si>
  <si>
    <t>CG03-044</t>
  </si>
  <si>
    <t>CG03-044.jpg</t>
  </si>
  <si>
    <t>Granite, inhomogeneous</t>
  </si>
  <si>
    <t>CG03-045</t>
  </si>
  <si>
    <t>CG03-045.jpg</t>
  </si>
  <si>
    <t>Tightly folded amphibolite and granite</t>
  </si>
  <si>
    <t>CG03-052.1.jpg</t>
  </si>
  <si>
    <t>VN85-495.4.jpg</t>
  </si>
  <si>
    <t>CG98-128</t>
  </si>
  <si>
    <t>CG98-128.3.jpg</t>
  </si>
  <si>
    <t>Sheared amphibolite boudin in quartzofeldspathic gneiss</t>
  </si>
  <si>
    <t>CG98-128.2.jpg</t>
  </si>
  <si>
    <t>Amphibolite boudin with buckled discordant pegmatite</t>
  </si>
  <si>
    <t>CG98-137</t>
  </si>
  <si>
    <t>CG98-137.jpg</t>
  </si>
  <si>
    <t>Anorthosite with large plagioclase crystals</t>
  </si>
  <si>
    <t>CG98-292</t>
  </si>
  <si>
    <t>CG98-292.1.jpg</t>
  </si>
  <si>
    <t>Microgranite intruding amphibolite</t>
  </si>
  <si>
    <t>CG98-297</t>
  </si>
  <si>
    <t>CG98-297.jpg</t>
  </si>
  <si>
    <t>Mafic intrusion (right) intruding gneiss (stripped of moss)</t>
  </si>
  <si>
    <t>CG98-302</t>
  </si>
  <si>
    <t>CG98-302.2.jpg</t>
  </si>
  <si>
    <t>Melagabbro/pyroxenite (metamorphosed)</t>
  </si>
  <si>
    <t>CG98-302.1.jpg</t>
  </si>
  <si>
    <t>CG98-302.4.jpg</t>
  </si>
  <si>
    <t>98-04</t>
  </si>
  <si>
    <t>Melagabbro/pyroxenite (metamorphosed and pegmatitic - geochron. site)</t>
  </si>
  <si>
    <t>CG99-002</t>
  </si>
  <si>
    <t>CG99-002.jpg</t>
  </si>
  <si>
    <t>Gneissic  hornblende-biotite granite</t>
  </si>
  <si>
    <t>CG99-008.1.jpg</t>
  </si>
  <si>
    <t>Recrystallized anorthosite</t>
  </si>
  <si>
    <t>GM85-597.3.jpg</t>
  </si>
  <si>
    <t>Fine-grained granite intruding hornblende quartz diorite</t>
  </si>
  <si>
    <t>GM85-633.1.jpg</t>
  </si>
  <si>
    <t>GM85-633.3.jpg</t>
  </si>
  <si>
    <t>Hornblende-bearing leucodiorite segregations in amphibolite/diorite</t>
  </si>
  <si>
    <t>GM85-592.4.jpg</t>
  </si>
  <si>
    <t>GM85-593.4.jpg</t>
  </si>
  <si>
    <t>GM85-593.1.jpg</t>
  </si>
  <si>
    <t>GM85-593.3.jpg</t>
  </si>
  <si>
    <t>JA92-046</t>
  </si>
  <si>
    <t>JA92-046.1.jpg</t>
  </si>
  <si>
    <t>Dioritic to amphibolitic dyke intruding foliated granite</t>
  </si>
  <si>
    <t>JA92-046.2.jpg</t>
  </si>
  <si>
    <t>Amphibolite enclave in foliated granite</t>
  </si>
  <si>
    <t>JA92-051</t>
  </si>
  <si>
    <t>JA92-051.jpg</t>
  </si>
  <si>
    <t>JA92-052</t>
  </si>
  <si>
    <t>JA92-052.2.jpg</t>
  </si>
  <si>
    <t>JA92-052.1.jpg</t>
  </si>
  <si>
    <t>VN91-265.2.jpg</t>
  </si>
  <si>
    <t>Strongly folded migmatitic metasedimentary gneiss</t>
  </si>
  <si>
    <t>VO81-682</t>
  </si>
  <si>
    <t>VO81-682.2.jpg</t>
  </si>
  <si>
    <t>Leucogranite with enclaves of Hare Island quartz diorite</t>
  </si>
  <si>
    <t>VO81-682.1.jpg</t>
  </si>
  <si>
    <t>AL78-147</t>
  </si>
  <si>
    <t>AL78-147.2.jpg</t>
  </si>
  <si>
    <t>Plagioclase-phyric core of mafic dyke</t>
  </si>
  <si>
    <t>AL78-147.1.jpg</t>
  </si>
  <si>
    <t>Plagioclase-phyric core and fine-grained margin of mafic dyke</t>
  </si>
  <si>
    <t>AL78-147.3.jpg</t>
  </si>
  <si>
    <t>Mafic xenolith in Benedict-type granite</t>
  </si>
  <si>
    <t>AL78-147.4.jpg</t>
  </si>
  <si>
    <t>Quartzofeldspathic xenolith in Benedict-type granite</t>
  </si>
  <si>
    <t>AL78-150</t>
  </si>
  <si>
    <t>AL78-150.jpg</t>
  </si>
  <si>
    <t>Pegmatitic (appinitic) patch in Adlavik gabbro</t>
  </si>
  <si>
    <t>AL78-153</t>
  </si>
  <si>
    <t>AL78-153.2.jpg</t>
  </si>
  <si>
    <t>K-feldspar porphyritic Benedict-type granite</t>
  </si>
  <si>
    <t>AL78-153.1.jpg</t>
  </si>
  <si>
    <t>Gabbro xenolith in Benedict-type granite</t>
  </si>
  <si>
    <t>AL78-166</t>
  </si>
  <si>
    <t>AL78-166.jpg</t>
  </si>
  <si>
    <t>Gabbroic rock injected by granitic material</t>
  </si>
  <si>
    <t>AL78-168</t>
  </si>
  <si>
    <t>AL78-168.jpg</t>
  </si>
  <si>
    <t>Xenocrysts or overgrowith of K-feldspar phenocrysts in Benedict-type granite</t>
  </si>
  <si>
    <t>AL78-183</t>
  </si>
  <si>
    <t>AL78-183.jpg</t>
  </si>
  <si>
    <t>Benedict-type granite with assimilated dioritic xenoliths</t>
  </si>
  <si>
    <t>CG07-172.3.jpg</t>
  </si>
  <si>
    <t>Rubiginous lens in calc-silicate rocks</t>
  </si>
  <si>
    <t>CG83-411.1.jpg</t>
  </si>
  <si>
    <t>CG83-450.4.jpg</t>
  </si>
  <si>
    <t>Lambskill (location uncertain)</t>
  </si>
  <si>
    <t>CG83-450.1.jpg</t>
  </si>
  <si>
    <t>JS87-081</t>
  </si>
  <si>
    <t>JS87-081.jpg</t>
  </si>
  <si>
    <t>JA92-121.2.jpg</t>
  </si>
  <si>
    <t>JA92-122</t>
  </si>
  <si>
    <t>JA92-122.2.jpg</t>
  </si>
  <si>
    <t>Leucogabbro intruded by granitic vein</t>
  </si>
  <si>
    <t>CG80-297</t>
  </si>
  <si>
    <t>CG80-297.2.jpg</t>
  </si>
  <si>
    <t>Baby duck in Snook Cove area</t>
  </si>
  <si>
    <t>CG80-297.1.jpg</t>
  </si>
  <si>
    <t>Epidotized amphibolite</t>
  </si>
  <si>
    <t>CG80-302</t>
  </si>
  <si>
    <t>CG80-302.jpg</t>
  </si>
  <si>
    <t>Refolded fold in mylonite</t>
  </si>
  <si>
    <t>CG79-797.1.jpg</t>
  </si>
  <si>
    <t>Typical tonalite/granodiorite gneiss</t>
  </si>
  <si>
    <t>CG93-390</t>
  </si>
  <si>
    <t>CG93-390.jpg</t>
  </si>
  <si>
    <t>Picton Pond hornblende quartz monzonite</t>
  </si>
  <si>
    <t>CG93-395</t>
  </si>
  <si>
    <t>CG93-395.jpg</t>
  </si>
  <si>
    <t>Enclave of vein quartz in Picton Pond quartz monzonite</t>
  </si>
  <si>
    <t>CG93-406</t>
  </si>
  <si>
    <t>CG93-406.2.jpg</t>
  </si>
  <si>
    <t>Banded amphibolite in supracrustal gneiss</t>
  </si>
  <si>
    <t>CG93-406.1.jpg</t>
  </si>
  <si>
    <t>Calc-silicate layer in metasedimentary gneiss</t>
  </si>
  <si>
    <t>VN93-080</t>
  </si>
  <si>
    <t>VN93-080.jpg</t>
  </si>
  <si>
    <t>VN93-081</t>
  </si>
  <si>
    <t>VN93-081.1.jpg</t>
  </si>
  <si>
    <t>VN93-081.2.jpg</t>
  </si>
  <si>
    <t>VN93-091.1.jpg</t>
  </si>
  <si>
    <t>Hornblende-rich diorite gneiss</t>
  </si>
  <si>
    <t>CG87-444.3.jpg</t>
  </si>
  <si>
    <t>Brittle fault zone in homogeneous granite</t>
  </si>
  <si>
    <t>VN95-176.2.jpg</t>
  </si>
  <si>
    <t>VN95-191</t>
  </si>
  <si>
    <t>VN95-191.1.jpg</t>
  </si>
  <si>
    <t>VN95-191.2.jpg</t>
  </si>
  <si>
    <t>VN93-103</t>
  </si>
  <si>
    <t>VN93-103.2.jpg</t>
  </si>
  <si>
    <t>Deformed pegmatite in foliated monzonite</t>
  </si>
  <si>
    <t>VN93-104.5.jpg</t>
  </si>
  <si>
    <t>CG81-748.3.jpg</t>
  </si>
  <si>
    <t>Horse Chops Island from east side</t>
  </si>
  <si>
    <t>CG81-749</t>
  </si>
  <si>
    <t>CG81-749.jpg</t>
  </si>
  <si>
    <t>Pan ice north of Double Island</t>
  </si>
  <si>
    <t>NN80-203.3.jpg</t>
  </si>
  <si>
    <t>En route Goose Bay to Cartwright, near St. John Island; GW and VO</t>
  </si>
  <si>
    <t>NN80-203.2.jpg</t>
  </si>
  <si>
    <t>En route Goose Bay to Cartwright, near St. John Island; GF</t>
  </si>
  <si>
    <t>NN80-203.1.jpg</t>
  </si>
  <si>
    <t>South-verging folds defined by amphibolite, and MT</t>
  </si>
  <si>
    <t>NN80-211</t>
  </si>
  <si>
    <t>NN80-211.jpg</t>
  </si>
  <si>
    <t>Amphibolite dyke with axial planar fabric</t>
  </si>
  <si>
    <t>NN80-214</t>
  </si>
  <si>
    <t>NN80-214.jpg</t>
  </si>
  <si>
    <t>NN80-215</t>
  </si>
  <si>
    <t>NN80-215.jpg</t>
  </si>
  <si>
    <t>Amphibolite dyke with chilled margin intruding K-feldspar megacrystic granodiorite</t>
  </si>
  <si>
    <t>NN80-234.1.jpg</t>
  </si>
  <si>
    <t>VN91-221.4.jpg</t>
  </si>
  <si>
    <t>CG87-444.7.jpg</t>
  </si>
  <si>
    <t>Buff microgranite intruding foliated granite</t>
  </si>
  <si>
    <t>CG87-444.4.jpg</t>
  </si>
  <si>
    <t>CG87-444.5.jpg</t>
  </si>
  <si>
    <t>Enclave of banded gneiss in homogeneous granite</t>
  </si>
  <si>
    <t>JA92-032.2.jpg</t>
  </si>
  <si>
    <t>Diorite enclave in foliated syenite</t>
  </si>
  <si>
    <t>CG98-169</t>
  </si>
  <si>
    <t>CG98-169.jpg</t>
  </si>
  <si>
    <t>CG98-181</t>
  </si>
  <si>
    <t>CG98-181.jpg</t>
  </si>
  <si>
    <t>Strongly foliated, recrystallized K-feldspar megacrystic granodiorite</t>
  </si>
  <si>
    <t>CG98-184</t>
  </si>
  <si>
    <t>CG98-184.jpg</t>
  </si>
  <si>
    <t>CG98-188.3.jpg</t>
  </si>
  <si>
    <t>Quartzite and/or metasedimentary diatexite</t>
  </si>
  <si>
    <t>CG98-188.4.jpg</t>
  </si>
  <si>
    <t>Metasedimentary diatexite with garnet and sillimanite</t>
  </si>
  <si>
    <t>HP92-143.2.jpg</t>
  </si>
  <si>
    <t>HP92-143.1.jpg</t>
  </si>
  <si>
    <t>HP92-143.7E.jpg</t>
  </si>
  <si>
    <t>VN93-412</t>
  </si>
  <si>
    <t>VN93-412.jpg</t>
  </si>
  <si>
    <t>Muscovite-pyrite-garnet gossanous granite</t>
  </si>
  <si>
    <t>NN84-247.1.jpg</t>
  </si>
  <si>
    <t>Anorthosite enclave in marginal granodiorite</t>
  </si>
  <si>
    <t>NN84-258</t>
  </si>
  <si>
    <t>NN84-258.1.jpg</t>
  </si>
  <si>
    <t>Granitic dyke intruding well-banded gneisses; geochron. sample site (same site as CG84-495)</t>
  </si>
  <si>
    <t>HP92-177</t>
  </si>
  <si>
    <t>HP92-177.jpg</t>
  </si>
  <si>
    <t>CG99-195.3.jpg</t>
  </si>
  <si>
    <t>CG99-195.8.jpg</t>
  </si>
  <si>
    <t>CG99-195.2.jpg</t>
  </si>
  <si>
    <t>Foliated, but homogeneous granite</t>
  </si>
  <si>
    <t>CG99-195.5.jpg</t>
  </si>
  <si>
    <t>Late discordant pegmatite</t>
  </si>
  <si>
    <t>CG99-195.6.jpg</t>
  </si>
  <si>
    <t>White pegmatite, amphibolite, granite and late microgranite</t>
  </si>
  <si>
    <t>CG99-196</t>
  </si>
  <si>
    <t>CG99-196.jpg</t>
  </si>
  <si>
    <t>CG99-220</t>
  </si>
  <si>
    <t>CG99-220.jpg</t>
  </si>
  <si>
    <t>Granite and amphibolitic gneiss</t>
  </si>
  <si>
    <t>CG99-226</t>
  </si>
  <si>
    <t>CG99-226.jpg</t>
  </si>
  <si>
    <t>CG79-222</t>
  </si>
  <si>
    <t>CG79-222.3E.jpg</t>
  </si>
  <si>
    <t>Coastline near False Cape 2</t>
  </si>
  <si>
    <t>CG79-231</t>
  </si>
  <si>
    <t>CG79-231E.jpg</t>
  </si>
  <si>
    <t>Temporary camp south of Cape Harrison</t>
  </si>
  <si>
    <t>CG79-263.1cropped.jpg</t>
  </si>
  <si>
    <t>Net-veined and homogeneous mafic dykes intruding tonalite/granodiorite</t>
  </si>
  <si>
    <t>CG79-268.1cropped.jpg</t>
  </si>
  <si>
    <t>CG79-345</t>
  </si>
  <si>
    <t>CG79-345cropped.jpg</t>
  </si>
  <si>
    <t>Garnet porphyroblasts in leucosome in tonalite/granodiorite</t>
  </si>
  <si>
    <t>CG79-359.1cropped.jpg</t>
  </si>
  <si>
    <t>Rotated porphyroclasts in mylonite</t>
  </si>
  <si>
    <t>CG79-359.6cropped.jpg</t>
  </si>
  <si>
    <t>Mylonite and tectonic fish</t>
  </si>
  <si>
    <t>CG79-718</t>
  </si>
  <si>
    <t>CG79-718cropped.jpg</t>
  </si>
  <si>
    <t>Molybdenite sample - photographed in office</t>
  </si>
  <si>
    <t>CG79-762.2E.jpg</t>
  </si>
  <si>
    <t>Pottles Bay area</t>
  </si>
  <si>
    <t>CG79-782</t>
  </si>
  <si>
    <t>CG79-782E.jpg</t>
  </si>
  <si>
    <t>Bluff Head Cove; Smokey on horizon</t>
  </si>
  <si>
    <t>CG79-788</t>
  </si>
  <si>
    <t>CG79-788E.jpg</t>
  </si>
  <si>
    <t>Bluff Head Cove from north side</t>
  </si>
  <si>
    <t>CG79-794.2cropped.jpg</t>
  </si>
  <si>
    <t>Thulite (pink) in fine-grained rock of possible supracrustal origin</t>
  </si>
  <si>
    <t>MN86-440</t>
  </si>
  <si>
    <t>MN86-440.jpg</t>
  </si>
  <si>
    <t>Rotated dextral porphyroblast, dextral sense</t>
  </si>
  <si>
    <t>MN86-443</t>
  </si>
  <si>
    <t>MN86-443.jpg</t>
  </si>
  <si>
    <t>Wispy/nebulitic gneissosity in metasedimentary gneiss</t>
  </si>
  <si>
    <t>CG99-227</t>
  </si>
  <si>
    <t>CG99-227.jpg</t>
  </si>
  <si>
    <t>CG99-228</t>
  </si>
  <si>
    <t>CG99-228.jpg</t>
  </si>
  <si>
    <t>VN87-442</t>
  </si>
  <si>
    <t>VN87-442.jpg</t>
  </si>
  <si>
    <t>Fine-grained granite dyke intruding gneissosity in diorite/amphibolite</t>
  </si>
  <si>
    <t>VN92-118.3.jpg</t>
  </si>
  <si>
    <t>VN92-118.4.jpg</t>
  </si>
  <si>
    <t>Magnetite crystals in anorthosite</t>
  </si>
  <si>
    <t>VN92-118.1.jpg</t>
  </si>
  <si>
    <t>CG95-095.2.jpg</t>
  </si>
  <si>
    <t>Biotite-sillimanite-garnet gneiss intruded by 3-cm-wide mafic dyke; mafic dyke subsequently faulted</t>
  </si>
  <si>
    <t>CG97-196</t>
  </si>
  <si>
    <t>CG97-196.jpg</t>
  </si>
  <si>
    <t>Upper Paradise River monzonite (very dark)</t>
  </si>
  <si>
    <t>CG97-203</t>
  </si>
  <si>
    <t>CG97-203.jpg</t>
  </si>
  <si>
    <t>Biotite granodiorite orthogneiss (dark)</t>
  </si>
  <si>
    <t>CG97-220.2.jpg</t>
  </si>
  <si>
    <t>CG97-220.3.jpg</t>
  </si>
  <si>
    <t>Foliated granite: geochron: sampling site</t>
  </si>
  <si>
    <t>CG98-098.4.jpg</t>
  </si>
  <si>
    <t>Monzonite; fractured and altered to greenschist facies minerals; geochron sample site</t>
  </si>
  <si>
    <t>CG98-100</t>
  </si>
  <si>
    <t>CG98-100.jpg</t>
  </si>
  <si>
    <t>Very coarse-grained massive monzonite</t>
  </si>
  <si>
    <t>CG98-102</t>
  </si>
  <si>
    <t>CG98-102.jpg</t>
  </si>
  <si>
    <t>CG98-110</t>
  </si>
  <si>
    <t>CG98-110.jpg</t>
  </si>
  <si>
    <t>CG98-119</t>
  </si>
  <si>
    <t>CG98-119.2.jpg</t>
  </si>
  <si>
    <t>Fault breccia and quartz veining</t>
  </si>
  <si>
    <t>CG98-120</t>
  </si>
  <si>
    <t>CG98-120.jpg</t>
  </si>
  <si>
    <t>Sheared vein quartz in fault</t>
  </si>
  <si>
    <t>CG98-122</t>
  </si>
  <si>
    <t>CG98-122.jpg</t>
  </si>
  <si>
    <t>Recrystallized metapyroxenite</t>
  </si>
  <si>
    <t>MC77-035.4cropped.jpg</t>
  </si>
  <si>
    <t>MC77-236.2E.jpg</t>
  </si>
  <si>
    <t>MC77-237.1E.jpg</t>
  </si>
  <si>
    <t>MC77-238.3E.jpg</t>
  </si>
  <si>
    <t>MC77-250E.jpg</t>
  </si>
  <si>
    <t>AL78-015.2E.jpg</t>
  </si>
  <si>
    <t>AL78-152</t>
  </si>
  <si>
    <t>AL78-152E.jpg</t>
  </si>
  <si>
    <t>Stag Bay from north</t>
  </si>
  <si>
    <t>AL78-153.3cropped.jpg</t>
  </si>
  <si>
    <t>AL78-190</t>
  </si>
  <si>
    <t>AL78-190cropped.jpg</t>
  </si>
  <si>
    <t>Assimilated mafic xenoliths in Benedict-type granite</t>
  </si>
  <si>
    <t>AL78-219</t>
  </si>
  <si>
    <t>AL78-219cropped.jpg</t>
  </si>
  <si>
    <t>Mountains west of Mount Benedict; data stn. reference approx</t>
  </si>
  <si>
    <t>AD79-011.2E.jpg</t>
  </si>
  <si>
    <t>Manak Bay Formation intruded by gabbro dyke swarm</t>
  </si>
  <si>
    <t>AD79-025.1E.jpg</t>
  </si>
  <si>
    <t>Granite adjacent to quartz monzonite and intruded by pegmatite</t>
  </si>
  <si>
    <t>VN84-348.1.jpg</t>
  </si>
  <si>
    <t>Mylonite zone in Paradise Arm K-feldspar megacrystic monzogranite/granodiorite</t>
  </si>
  <si>
    <t>VN84-351</t>
  </si>
  <si>
    <t>VN84-351.2.jpg</t>
  </si>
  <si>
    <t>VN84-351.1.jpg</t>
  </si>
  <si>
    <t>Boudinaged leucosome in metasedimentary gneiss</t>
  </si>
  <si>
    <t>VN84-351.3.jpg</t>
  </si>
  <si>
    <t>Isoclinal folds in metasedimentary gneiss</t>
  </si>
  <si>
    <t>VN84-364</t>
  </si>
  <si>
    <t>VN84-364.jpg</t>
  </si>
  <si>
    <t>Rodding in Paradise Arm K-feldspar megacrystic monzogranite/granodiorite</t>
  </si>
  <si>
    <t>VN84-375.1.jpg</t>
  </si>
  <si>
    <t>Banding in Paradise Arm K-feldspar megacrystic monzogranite/granodiorite</t>
  </si>
  <si>
    <t>VN93-292</t>
  </si>
  <si>
    <t>VN93-292.jpg</t>
  </si>
  <si>
    <t>Quartz monzonite to granodiorite</t>
  </si>
  <si>
    <t>HP92-155</t>
  </si>
  <si>
    <t>HP92-155.1.jpg</t>
  </si>
  <si>
    <t>Granite and amphibolite altered to greenschist facies minerals</t>
  </si>
  <si>
    <t>HP92-155.2.jpg</t>
  </si>
  <si>
    <t>HP92-160</t>
  </si>
  <si>
    <t>HP92-160.jpg</t>
  </si>
  <si>
    <t>St. Paul River east monzonite</t>
  </si>
  <si>
    <t>HP92-162</t>
  </si>
  <si>
    <t>HP92-162.1.jpg</t>
  </si>
  <si>
    <t>Waterfall on tributary of St. Paul River</t>
  </si>
  <si>
    <t>CG98-252</t>
  </si>
  <si>
    <t>CG98-252.jpg</t>
  </si>
  <si>
    <t>Recrystallized quartz monzonite to granite intruded by pegmatite</t>
  </si>
  <si>
    <t>CG98-256</t>
  </si>
  <si>
    <t>CG98-256.jpg</t>
  </si>
  <si>
    <t>Oxide-rich layer in metagabbro; minor sulphide present</t>
  </si>
  <si>
    <t>CG98-279</t>
  </si>
  <si>
    <t>CG98-279.jpg</t>
  </si>
  <si>
    <t>Pegmatite with mafelsic enclaves</t>
  </si>
  <si>
    <t>SN86-348</t>
  </si>
  <si>
    <t>SN86-348E.jpg</t>
  </si>
  <si>
    <t>SN86-378</t>
  </si>
  <si>
    <t>SN86-378E.jpg</t>
  </si>
  <si>
    <t>Occasional Harbour</t>
  </si>
  <si>
    <t>SN86-381.2E.jpg</t>
  </si>
  <si>
    <t>SN86-407.1E.jpg</t>
  </si>
  <si>
    <t>MN86-400</t>
  </si>
  <si>
    <t>MN86-400E.jpg</t>
  </si>
  <si>
    <t>Community of Ship Harbour</t>
  </si>
  <si>
    <t>CC87-100.4cropped.jpg</t>
  </si>
  <si>
    <t>CG87-055.04cropped.jpg</t>
  </si>
  <si>
    <t>Interbanded quartzite and pelitic metasedimentary gneiss</t>
  </si>
  <si>
    <t>CG87-055.07cropped.jpg</t>
  </si>
  <si>
    <t>CG87-164.4cropped.jpg</t>
  </si>
  <si>
    <t>CG87-166</t>
  </si>
  <si>
    <t>CG87-166.2cropped.jpg</t>
  </si>
  <si>
    <t>Sapphirine-bearing metasedimentary gneiss</t>
  </si>
  <si>
    <t>CG87-233</t>
  </si>
  <si>
    <t>CG87-233E.jpg</t>
  </si>
  <si>
    <t>Chateau Pond area</t>
  </si>
  <si>
    <t>CG87-333.4cropped.jpg</t>
  </si>
  <si>
    <t>Sinistral rotation at the margin of amphibolite boudin</t>
  </si>
  <si>
    <t>CG87-402</t>
  </si>
  <si>
    <t>CG87-402E.jpg</t>
  </si>
  <si>
    <t>Pitts Harbour</t>
  </si>
  <si>
    <t>CG87-410</t>
  </si>
  <si>
    <t>CG87-410E.jpg</t>
  </si>
  <si>
    <t>Lighthouse Cove Formation at Henley Harbour</t>
  </si>
  <si>
    <t>CG87-415</t>
  </si>
  <si>
    <t>CG87-415.2E.jpg</t>
  </si>
  <si>
    <t>CG87-420</t>
  </si>
  <si>
    <t>CG87-420E.jpg</t>
  </si>
  <si>
    <t>Well-banded metasedimentary(?) gneiss</t>
  </si>
  <si>
    <t>JS86-114</t>
  </si>
  <si>
    <t>JS86-114.jpg</t>
  </si>
  <si>
    <t>Metasedimentary diatexite truncating layering in more melanocratic enclave</t>
  </si>
  <si>
    <t>JS86-123</t>
  </si>
  <si>
    <t>JS86-123.jpg</t>
  </si>
  <si>
    <t>VN91-196</t>
  </si>
  <si>
    <t>VN91-196.jpg</t>
  </si>
  <si>
    <t>Hornblende biotite magnetite diorite to quartz diorite</t>
  </si>
  <si>
    <t>VN87-490.1.jpg</t>
  </si>
  <si>
    <t>SN86-181</t>
  </si>
  <si>
    <t>SN86-181.jpg</t>
  </si>
  <si>
    <t>Contact between gabbronorite and K-feldspar megacrystic granodiorite</t>
  </si>
  <si>
    <t>CG86-352</t>
  </si>
  <si>
    <t>CG86-352.jpg</t>
  </si>
  <si>
    <t>Banded agmatitic dioritic rock with amphibolite</t>
  </si>
  <si>
    <t>CG86-354</t>
  </si>
  <si>
    <t>CG86-354.jpg</t>
  </si>
  <si>
    <t>Amphibolite agmatized by granitic/dioritic leucosome</t>
  </si>
  <si>
    <t>CG86-356</t>
  </si>
  <si>
    <t>CG86-356.jpg</t>
  </si>
  <si>
    <t>Amphibolitic to dioritic agmatitic gneiss</t>
  </si>
  <si>
    <t>CG86-364</t>
  </si>
  <si>
    <t>CG86-364.jpg</t>
  </si>
  <si>
    <t>Amphibolitic gneiss associated with metasedimentary gneiss</t>
  </si>
  <si>
    <t>CG86-369</t>
  </si>
  <si>
    <t>CG86-369.1.jpg</t>
  </si>
  <si>
    <t>K-feldspar megacrystic granodiorite associated with dioritic gneiss and amphibolite</t>
  </si>
  <si>
    <t>CG86-369.2.jpg</t>
  </si>
  <si>
    <t>K-feldspar megacrystic granodiorite associated with dioritic gneiss</t>
  </si>
  <si>
    <t>CG86-394</t>
  </si>
  <si>
    <t>CG86-394.jpg</t>
  </si>
  <si>
    <t>Banded calc-silicate/amphibolitic supracrustal(?) gneiss</t>
  </si>
  <si>
    <t>CG86-437</t>
  </si>
  <si>
    <t>CG86-437.1.jpg</t>
  </si>
  <si>
    <t>K-feldspar megacrystic granodiorite alternating with diorite</t>
  </si>
  <si>
    <t>CG86-437.2.jpg</t>
  </si>
  <si>
    <t>CG86-443.2.jpg</t>
  </si>
  <si>
    <t>MH</t>
  </si>
  <si>
    <t>CG80-350.07cropped.jpg</t>
  </si>
  <si>
    <t>Metasedimentary(?) gneiss enclave in nebulitic granodiorite, intrude by mafic dyke</t>
  </si>
  <si>
    <t>S23</t>
  </si>
  <si>
    <t>S23corrected.jpg</t>
  </si>
  <si>
    <t>Boudinaged remnants of mafic dykes</t>
  </si>
  <si>
    <t>CG91-072.1cropped.jpg</t>
  </si>
  <si>
    <t>DD91-049.3cropped.jpg</t>
  </si>
  <si>
    <t>DD91-080</t>
  </si>
  <si>
    <t>DD91-080.2cropped.jpg</t>
  </si>
  <si>
    <t>VN91-118.1cropped.jpg</t>
  </si>
  <si>
    <t>K-feldspar megacrysts (large, recrystallized) in granite</t>
  </si>
  <si>
    <t>VN91-126</t>
  </si>
  <si>
    <t>VN91-126cropped.jpg</t>
  </si>
  <si>
    <t>Gneissosity in biotite hornblende granodiorite gneiss</t>
  </si>
  <si>
    <t>VN91-233.8cropped.jpg</t>
  </si>
  <si>
    <t>Syenite/monzonite with cognate(?) xenolith</t>
  </si>
  <si>
    <t>VN91-264.16cropped.jpg</t>
  </si>
  <si>
    <t>VN91-411.2cropped.jpg</t>
  </si>
  <si>
    <t>VN91-443</t>
  </si>
  <si>
    <t>VN91-443cropped.jpg</t>
  </si>
  <si>
    <t>VN91-264.03E.jpg</t>
  </si>
  <si>
    <t>TvN on Paradise River</t>
  </si>
  <si>
    <t>VN91-020.8E.jpg</t>
  </si>
  <si>
    <t>GB refuelling helicopter at 1991 base camp</t>
  </si>
  <si>
    <t>DD91-002</t>
  </si>
  <si>
    <t>DD91-002E.jpg</t>
  </si>
  <si>
    <t>VN91-392.1E.jpg</t>
  </si>
  <si>
    <t>Pegmatite and quartz vein</t>
  </si>
  <si>
    <t>CG92-083</t>
  </si>
  <si>
    <t>CG92-083cropped.jpg</t>
  </si>
  <si>
    <t>Kyfanan Lake coronitic leucogabbro</t>
  </si>
  <si>
    <t>CG92-091</t>
  </si>
  <si>
    <t>CG92-091cropped.jpg</t>
  </si>
  <si>
    <t>Layering in Kyfanan Lake leucogabbro/anorthosite</t>
  </si>
  <si>
    <t>CG92-118.2cropped.jpg</t>
  </si>
  <si>
    <t>CG92-138</t>
  </si>
  <si>
    <t>CG92-138cropped.jpg</t>
  </si>
  <si>
    <t>CG92-164.2cropped.jpg</t>
  </si>
  <si>
    <t>CG92-215</t>
  </si>
  <si>
    <t>CG92-215cropped.jpg</t>
  </si>
  <si>
    <t>Strongly foliate, originally coarse-grained alkali-feldspar syenite</t>
  </si>
  <si>
    <t>CG92-234</t>
  </si>
  <si>
    <t>CG92-234cropped.jpg</t>
  </si>
  <si>
    <t>Late- to post-Grenvillian biotite granite</t>
  </si>
  <si>
    <t>CG92-281.1cropped.jpg</t>
  </si>
  <si>
    <t>JA92-029</t>
  </si>
  <si>
    <t>JA92-029cropped.jpg</t>
  </si>
  <si>
    <t>Foliated K-feldspar megacrystic granitoid rock</t>
  </si>
  <si>
    <t>JA92-058</t>
  </si>
  <si>
    <t>JA92-058cropped.jpg</t>
  </si>
  <si>
    <t>Weakly foliated syenite</t>
  </si>
  <si>
    <t>JA92-122.1cropped.jpg</t>
  </si>
  <si>
    <t>Leucogabbro texture</t>
  </si>
  <si>
    <t>VN92-096.1cropped.jpg</t>
  </si>
  <si>
    <t>VN92-104</t>
  </si>
  <si>
    <t>VN92-104cropped.jpg</t>
  </si>
  <si>
    <t>Amphibole-rich zone in recrystallized amphibolite</t>
  </si>
  <si>
    <t>VN92-120.2cropped.jpg</t>
  </si>
  <si>
    <t>Hornblende aggregates in anorthosite</t>
  </si>
  <si>
    <t>VN92-121</t>
  </si>
  <si>
    <t>VN92-121cropped.jpg</t>
  </si>
  <si>
    <t>CG87-444.6.jpg</t>
  </si>
  <si>
    <t>Close-up of end of enclave in granite</t>
  </si>
  <si>
    <t>CG87-444.9.jpg</t>
  </si>
  <si>
    <t>Mafic enclaves in Cape Charles granite</t>
  </si>
  <si>
    <t>CG87-444.8.jpg</t>
  </si>
  <si>
    <t>CG83-450.3.jpg</t>
  </si>
  <si>
    <t>VN93-435</t>
  </si>
  <si>
    <t>VN93-435.jpg</t>
  </si>
  <si>
    <t>Coarse-grained massive Upper Beaver Brook quartz monzonite to granite</t>
  </si>
  <si>
    <t>VN93-464</t>
  </si>
  <si>
    <t>VN93-464.jpg</t>
  </si>
  <si>
    <t>VN93-487</t>
  </si>
  <si>
    <t>VN93-487.jpg</t>
  </si>
  <si>
    <t>Sugary-textured, diffusely banded rock of possible felsic volcanic origin</t>
  </si>
  <si>
    <t>NN84-158.2.jpg</t>
  </si>
  <si>
    <t>NN84-158.1.jpg</t>
  </si>
  <si>
    <t>NN84-161</t>
  </si>
  <si>
    <t>NN84-161.jpg</t>
  </si>
  <si>
    <t>Amphibole coronas around pyroxene in Alexis River anorthosite</t>
  </si>
  <si>
    <t>NN84-171</t>
  </si>
  <si>
    <t>NN84-171.1.jpg</t>
  </si>
  <si>
    <t>Well-banded granodioritic gneiss; JO</t>
  </si>
  <si>
    <t>NN84-171.2.jpg</t>
  </si>
  <si>
    <t>NN84-171.3.jpg</t>
  </si>
  <si>
    <t>VN93-656.1.jpg</t>
  </si>
  <si>
    <t>Partial assimilation of mafic material in K-feldspar megacrystic granite</t>
  </si>
  <si>
    <t>VN93-657</t>
  </si>
  <si>
    <t>VN93-657.2.jpg</t>
  </si>
  <si>
    <t>Large hornblende crystal in pegmatitic pod</t>
  </si>
  <si>
    <t>VN93-657.1.jpg</t>
  </si>
  <si>
    <t>Granodiorite enclave in K-feldspar megacrystic granite</t>
  </si>
  <si>
    <t>CG98-218.3.jpg</t>
  </si>
  <si>
    <t>Magnetite in anorthosite</t>
  </si>
  <si>
    <t>VN93-103.1.jpg</t>
  </si>
  <si>
    <t>GM85-507.1.jpg</t>
  </si>
  <si>
    <t>CG93-478</t>
  </si>
  <si>
    <t>CG93-478.1.jpg</t>
  </si>
  <si>
    <t>CG93-478.2.jpg</t>
  </si>
  <si>
    <t>CG80-012</t>
  </si>
  <si>
    <t>CG80-012.jpg</t>
  </si>
  <si>
    <t>CG80-014</t>
  </si>
  <si>
    <t>CG80-014.jpg</t>
  </si>
  <si>
    <t>Contact between metasedimentary gneiss and K-feldspar megacrystic granodiorite</t>
  </si>
  <si>
    <t>CG86-116</t>
  </si>
  <si>
    <t>CG86-116.jpg</t>
  </si>
  <si>
    <t>Hornblende granodiorite with enclaves</t>
  </si>
  <si>
    <t>CG86-123</t>
  </si>
  <si>
    <t>CG86-123.1.jpg</t>
  </si>
  <si>
    <t>Metasedimentary gneiss with cordierite retrograded to sillimanite</t>
  </si>
  <si>
    <t>CG86-123.2.jpg</t>
  </si>
  <si>
    <t>CG86-155</t>
  </si>
  <si>
    <t>CG86-155.3.jpg</t>
  </si>
  <si>
    <t>Mafic dyke truncating fabric in K-feldspar megacrystic granodiorite</t>
  </si>
  <si>
    <t>CG86-155.1.jpg</t>
  </si>
  <si>
    <t>Partially recrystallized K-feldspar megacrystic granodiorite</t>
  </si>
  <si>
    <t>CG86-155.2.jpg</t>
  </si>
  <si>
    <t>CG93-413</t>
  </si>
  <si>
    <t>CG93-413.2.jpg</t>
  </si>
  <si>
    <t>Enclave in granite consisting of fine-grained felsic rock and mafic dyke</t>
  </si>
  <si>
    <t>CG93-413.1.jpg</t>
  </si>
  <si>
    <t>VN93-033.08.jpg</t>
  </si>
  <si>
    <t>Aerial view of fog in Red Bay area 2</t>
  </si>
  <si>
    <t>VN93-033.07.jpg</t>
  </si>
  <si>
    <t>Aerial view of fog in Red Bay area 1</t>
  </si>
  <si>
    <t>VN91-221.7.jpg</t>
  </si>
  <si>
    <t>Coarse-grained leucogabbro enclave in K-feldspar megacrystic granite</t>
  </si>
  <si>
    <t>VN91-221.5.jpg</t>
  </si>
  <si>
    <t>VN91-221.6.jpg</t>
  </si>
  <si>
    <t>Late granitic vein intruding strongly foliated K-feldspar megacrystic granite</t>
  </si>
  <si>
    <t>VN91-264.17.jpg</t>
  </si>
  <si>
    <t>VN91-264.01.jpg</t>
  </si>
  <si>
    <t>VN91-264.02.jpg</t>
  </si>
  <si>
    <t>Dextrally rotated garnet in mylonite zone</t>
  </si>
  <si>
    <t>VN91-264.08.jpg</t>
  </si>
  <si>
    <t>VN91-264.12.jpg</t>
  </si>
  <si>
    <t>CG86-115.1.jpg</t>
  </si>
  <si>
    <t>Nebulitic and enclave-rich hornblende quartz diorite</t>
  </si>
  <si>
    <t>JA92-066</t>
  </si>
  <si>
    <t>JA92-066.jpg</t>
  </si>
  <si>
    <t>JA92-068</t>
  </si>
  <si>
    <t>JA92-068.1.jpg</t>
  </si>
  <si>
    <t>JA92-068.2.jpg</t>
  </si>
  <si>
    <t>Moderate foliation in anorthosite</t>
  </si>
  <si>
    <t>JA92-071</t>
  </si>
  <si>
    <t>JA92-071.jpg</t>
  </si>
  <si>
    <t>Strong foliation in syenite</t>
  </si>
  <si>
    <t>JA92-115</t>
  </si>
  <si>
    <t>JA92-115.1.jpg</t>
  </si>
  <si>
    <t>JA92-115.2.jpg</t>
  </si>
  <si>
    <t>Texture in layered gabbro</t>
  </si>
  <si>
    <t>JA92-115.3E.jpg</t>
  </si>
  <si>
    <t>St Paul River; DF</t>
  </si>
  <si>
    <t>CG87-441.2.jpg</t>
  </si>
  <si>
    <t>CG87-441.3.jpg</t>
  </si>
  <si>
    <t>CG87-441.4.jpg</t>
  </si>
  <si>
    <t>CG79-139</t>
  </si>
  <si>
    <t>CG79-139cropped.jpg</t>
  </si>
  <si>
    <t>Strongly deformed fine-grained felsic rock</t>
  </si>
  <si>
    <t>CG79-157</t>
  </si>
  <si>
    <t>CG79-157E.jpg</t>
  </si>
  <si>
    <t>Looking north across Dog Islands</t>
  </si>
  <si>
    <t>CG79-174.1E.jpg</t>
  </si>
  <si>
    <t>CG79-177</t>
  </si>
  <si>
    <t>CG79-177cropped.jpg</t>
  </si>
  <si>
    <t>CG79-195cropped.jpg</t>
  </si>
  <si>
    <t>CG79-221</t>
  </si>
  <si>
    <t>CG79-221cropped.jpg</t>
  </si>
  <si>
    <t>CG79-222.1E.jpg</t>
  </si>
  <si>
    <t>Iceberg and coast near False Cape</t>
  </si>
  <si>
    <t>CG79-222.2E.jpg</t>
  </si>
  <si>
    <t>Iceberg near False Cape</t>
  </si>
  <si>
    <t>CG97-279</t>
  </si>
  <si>
    <t>CG97-279.jpg</t>
  </si>
  <si>
    <t>Foliated quartz syenite to quartz monzonite</t>
  </si>
  <si>
    <t>JA92-017</t>
  </si>
  <si>
    <t>JA92-017.jpg</t>
  </si>
  <si>
    <t>Weathered, foliated leucogabbro</t>
  </si>
  <si>
    <t>JA92-124.3E.jpg</t>
  </si>
  <si>
    <t>HP92-012</t>
  </si>
  <si>
    <t>HP92-012.jpg</t>
  </si>
  <si>
    <t>CG87-462</t>
  </si>
  <si>
    <t>CG87-462.jpg</t>
  </si>
  <si>
    <t>Quartz diorite/ monzonite with mafic dykes</t>
  </si>
  <si>
    <t>CG87-463</t>
  </si>
  <si>
    <t>CG87-463.jpg</t>
  </si>
  <si>
    <t>Buff microgranite with magnetite reaction</t>
  </si>
  <si>
    <t>CG95-249.7.jpg</t>
  </si>
  <si>
    <t>CG95-261.1.jpg</t>
  </si>
  <si>
    <t>CG97-026</t>
  </si>
  <si>
    <t>CG97-026.jpg</t>
  </si>
  <si>
    <t>Creamy weathering in coarse-grained monzonite</t>
  </si>
  <si>
    <t>CG97-028</t>
  </si>
  <si>
    <t>CG97-028.1.jpg</t>
  </si>
  <si>
    <t>Monzonite agmatically invaded by granite (dark)</t>
  </si>
  <si>
    <t>CG97-028.2.jpg</t>
  </si>
  <si>
    <t>Monzonite enclaves in granite</t>
  </si>
  <si>
    <t>CG97-035</t>
  </si>
  <si>
    <t>CG97-035.jpg</t>
  </si>
  <si>
    <t>Banding in quartzofeldspathic gneiss</t>
  </si>
  <si>
    <t>CG97-038</t>
  </si>
  <si>
    <t>CG97-038.jpg</t>
  </si>
  <si>
    <t>CG97-040</t>
  </si>
  <si>
    <t>CG97-040.jpg</t>
  </si>
  <si>
    <t>CG97-057</t>
  </si>
  <si>
    <t>CG97-057.1.jpg</t>
  </si>
  <si>
    <t>Crag-and-tail feature</t>
  </si>
  <si>
    <t>CG85-619.1.jpg</t>
  </si>
  <si>
    <t>Contact between banded amphibolite and granite</t>
  </si>
  <si>
    <t>CG85-622.3.jpg</t>
  </si>
  <si>
    <t>CG85-622.2.jpg</t>
  </si>
  <si>
    <t>Granite hosting feathered end of mafic dyke</t>
  </si>
  <si>
    <t>VN93-384.4.jpg</t>
  </si>
  <si>
    <t>Amphibolite enclave in coarse-grained, moderately foliated Picton Pond quartz monzonite</t>
  </si>
  <si>
    <t>VN93-408</t>
  </si>
  <si>
    <t>VN93-408.1.jpg</t>
  </si>
  <si>
    <t>S-fold in banded amphibolite of probable supracrustal origin</t>
  </si>
  <si>
    <t>VN93-408.2.jpg</t>
  </si>
  <si>
    <t>Banded amphibolite of probable supracrustal origin</t>
  </si>
  <si>
    <t>NN84-258.2.jpg</t>
  </si>
  <si>
    <t>NN84-258.3.jpg</t>
  </si>
  <si>
    <t>NN84-258.4.jpg</t>
  </si>
  <si>
    <t>NN84-263</t>
  </si>
  <si>
    <t>NN84-263.jpg</t>
  </si>
  <si>
    <t>NN84-268</t>
  </si>
  <si>
    <t>NN84-268.jpg</t>
  </si>
  <si>
    <t>NN84-285</t>
  </si>
  <si>
    <t>NN84-285.3.jpg</t>
  </si>
  <si>
    <t>Well-banded granodioritic/tonalitic gneiss</t>
  </si>
  <si>
    <t>NN84-285.2.jpg</t>
  </si>
  <si>
    <t>NN84-293.1.jpg</t>
  </si>
  <si>
    <t>NN84-293.2.jpg</t>
  </si>
  <si>
    <t>JA92-123</t>
  </si>
  <si>
    <t>JA92-123.jpg</t>
  </si>
  <si>
    <t>Amphibolite enclave in fine-grained mafic to anorthositic rock</t>
  </si>
  <si>
    <t>JA92-124.1.jpg</t>
  </si>
  <si>
    <t>Fine-grained diabase (Long Range dyke?)</t>
  </si>
  <si>
    <t>JA92-124.2E.jpg</t>
  </si>
  <si>
    <t>VN93-064</t>
  </si>
  <si>
    <t>VN93-064.jpg</t>
  </si>
  <si>
    <t>Texture in Lower Pinware River alkali-feldspar syenite</t>
  </si>
  <si>
    <t>VN93-070</t>
  </si>
  <si>
    <t>VN93-070.jpg</t>
  </si>
  <si>
    <t>VN93-074</t>
  </si>
  <si>
    <t>VN93-074.jpg</t>
  </si>
  <si>
    <t>Massive, unrecrystallized granite</t>
  </si>
  <si>
    <t>JS86-153</t>
  </si>
  <si>
    <t>JS86-153.jpg</t>
  </si>
  <si>
    <t>Coronitic metagabbro intruded by mafic dyke, then offset along fault</t>
  </si>
  <si>
    <t>JS86-164</t>
  </si>
  <si>
    <t>JS86-164.jpg</t>
  </si>
  <si>
    <t>JS86-167</t>
  </si>
  <si>
    <t>JS86-167.jpg</t>
  </si>
  <si>
    <t>JS86-173</t>
  </si>
  <si>
    <t>JS86-173.jpg</t>
  </si>
  <si>
    <t>JS86-178</t>
  </si>
  <si>
    <t>JS86-178.jpg</t>
  </si>
  <si>
    <t>RG80-065.2.jpg</t>
  </si>
  <si>
    <t>RG80-065.1.jpg</t>
  </si>
  <si>
    <t>Granodioritic/granitic gneiss and amphibolite</t>
  </si>
  <si>
    <t>RG80-066</t>
  </si>
  <si>
    <t>RG80-066.4.jpg</t>
  </si>
  <si>
    <t>Overturned, isoclinally folded amphibolite</t>
  </si>
  <si>
    <t>RG80-066.2.jpg</t>
  </si>
  <si>
    <t>Disrupted amphibolite bands in granodiorite</t>
  </si>
  <si>
    <t>RG80-066.1.jpg</t>
  </si>
  <si>
    <t>Reclined M fold</t>
  </si>
  <si>
    <t>RG80-066.3.jpg</t>
  </si>
  <si>
    <t>RG80-066.5.jpg</t>
  </si>
  <si>
    <t>Low-angle reverse fault</t>
  </si>
  <si>
    <t>RG80-069.2.jpg</t>
  </si>
  <si>
    <t>GM85-515.3.jpg</t>
  </si>
  <si>
    <t>Discordant contact between gneiss and amphibolite</t>
  </si>
  <si>
    <t>SN86-180</t>
  </si>
  <si>
    <t>SN86-180.jpg</t>
  </si>
  <si>
    <t>Leucogabbronorite with enclaves of fine-grained similar rock</t>
  </si>
  <si>
    <t>GM85-597.4.jpg</t>
  </si>
  <si>
    <t>Inhomogeneous K-feldspar megacrystic granodiorite intruding hornblende quartz diorite</t>
  </si>
  <si>
    <t>GM85-598</t>
  </si>
  <si>
    <t>GM85-598.jpg</t>
  </si>
  <si>
    <t>GM85-612</t>
  </si>
  <si>
    <t>GM85-612.3.jpg</t>
  </si>
  <si>
    <t>Contact between meladiorite and K-feldspar megacrystic diorite to granodiorite</t>
  </si>
  <si>
    <t>GM85-612.2.jpg</t>
  </si>
  <si>
    <t>GM85-612.1.jpg</t>
  </si>
  <si>
    <t>Enclave of meladiorite within K-feldspar megacrystic diorite to granodiorite</t>
  </si>
  <si>
    <t>GM85-614</t>
  </si>
  <si>
    <t>GM85-614.jpg</t>
  </si>
  <si>
    <t>Mafic dyke intruded into granite</t>
  </si>
  <si>
    <t>GM85-624</t>
  </si>
  <si>
    <t>GM85-624.3.jpg</t>
  </si>
  <si>
    <t>Grey weathering megacrystic diorite</t>
  </si>
  <si>
    <t>GM85-624.1.jpg</t>
  </si>
  <si>
    <t>Alternating meladiorite and K-feldspar megacrystic diorite to granodiorite</t>
  </si>
  <si>
    <t>SN86-273</t>
  </si>
  <si>
    <t>SN86-273.jpg</t>
  </si>
  <si>
    <t>Dextrally rotated garnet-quartz symplectite  in metasedimentary gneiss</t>
  </si>
  <si>
    <t>SN86-276.1.jpg</t>
  </si>
  <si>
    <t>Metasedimentary gneiss intruded by granitic dyke</t>
  </si>
  <si>
    <t>CG81-306.30.jpg</t>
  </si>
  <si>
    <t>Monzonite; top half of layered gabbronorite-monzonite unit; geochron. sample site</t>
  </si>
  <si>
    <t>DD91-032.1.jpg</t>
  </si>
  <si>
    <t>CG00-154.02.jpg</t>
  </si>
  <si>
    <t>CG00-154.04.jpg</t>
  </si>
  <si>
    <t>St. Augustin River with helicopter</t>
  </si>
  <si>
    <t>CG00-154.05.jpg</t>
  </si>
  <si>
    <t>K-feldspar megacrystic granodiorite, geochronology sample</t>
  </si>
  <si>
    <t>CG93-562</t>
  </si>
  <si>
    <t>CG93-562.jpg</t>
  </si>
  <si>
    <t>Migmatized orthogneiss</t>
  </si>
  <si>
    <t>VN92-105</t>
  </si>
  <si>
    <t>VN92-105.1.jpg</t>
  </si>
  <si>
    <t>Biotite crystals in pegmatite</t>
  </si>
  <si>
    <t>VN92-105.2.jpg</t>
  </si>
  <si>
    <t>Biotite and garnet in pegmatite</t>
  </si>
  <si>
    <t>VN92-105.3.jpg</t>
  </si>
  <si>
    <t>VN92-108.4.jpg</t>
  </si>
  <si>
    <t>VN92-108.1.jpg</t>
  </si>
  <si>
    <t>CG85-145.5.jpg</t>
  </si>
  <si>
    <t>Sand Hill Big Pond - Brinex camp site 4 (Don Lake)</t>
  </si>
  <si>
    <t>CG81-744.2.jpg</t>
  </si>
  <si>
    <t>DD91-111.4.jpg</t>
  </si>
  <si>
    <t>Amphibolite and Alexis River anorthosite</t>
  </si>
  <si>
    <t>DD91-111.5.jpg</t>
  </si>
  <si>
    <t>Alexis River anorthosite intruded by mafic dykes</t>
  </si>
  <si>
    <t>CG00-154.10.jpg</t>
  </si>
  <si>
    <t>Late microgranite and later discordant aplite</t>
  </si>
  <si>
    <t>CG00-154.11.jpg</t>
  </si>
  <si>
    <t>Late microgranite discordantly intruding K-feldspar megacrystic granodiorite</t>
  </si>
  <si>
    <t>CG81-316</t>
  </si>
  <si>
    <t>CG81-316.jpg</t>
  </si>
  <si>
    <t>NN80-123.4.jpg</t>
  </si>
  <si>
    <t>NN80-123.6.jpg</t>
  </si>
  <si>
    <t>Plagioclase-phyric amphibolite dyke</t>
  </si>
  <si>
    <t>NN80-129</t>
  </si>
  <si>
    <t>NN80-129.jpg</t>
  </si>
  <si>
    <t>Anorthosite of the Mealy Mountains Intrusive Suite</t>
  </si>
  <si>
    <t>NN80-135</t>
  </si>
  <si>
    <t>NN80-135.jpg</t>
  </si>
  <si>
    <t>Anorthosite of the Mealy Mountains Intrusive Suite, showing mineral alignment</t>
  </si>
  <si>
    <t>NN80-137</t>
  </si>
  <si>
    <t>NN80-137.jpg</t>
  </si>
  <si>
    <t>Mealy dyke intruded by fine-grained diabase, and MT</t>
  </si>
  <si>
    <t>VN84-431.6.jpg</t>
  </si>
  <si>
    <t>VN84-431.3.jpg</t>
  </si>
  <si>
    <t>VN91-358.2.jpg</t>
  </si>
  <si>
    <t>VN91-366</t>
  </si>
  <si>
    <t>VN91-366.1.jpg</t>
  </si>
  <si>
    <t>Amphibolite enclaves in granodiorite, intruded by pegmatite</t>
  </si>
  <si>
    <t>VN91-366.3.jpg</t>
  </si>
  <si>
    <t>Plagioclase-phyric amphibolite enclave in granite</t>
  </si>
  <si>
    <t>VN91-366.2.jpg</t>
  </si>
  <si>
    <t>Gradation from megacrystic to non-megacrystic granite</t>
  </si>
  <si>
    <t>XX87-051</t>
  </si>
  <si>
    <t>XX87-051.1.jpg</t>
  </si>
  <si>
    <t>VO92-024.8.jpg</t>
  </si>
  <si>
    <t>Banded quartzite</t>
  </si>
  <si>
    <t>CG03-001</t>
  </si>
  <si>
    <t>CG03-001.jpg</t>
  </si>
  <si>
    <t>Road cuts with Red Bay in background</t>
  </si>
  <si>
    <t>CG03-003</t>
  </si>
  <si>
    <t>CG03-003.jpg</t>
  </si>
  <si>
    <t>Granite block</t>
  </si>
  <si>
    <t>CG03-004</t>
  </si>
  <si>
    <t>CG03-004.jpg</t>
  </si>
  <si>
    <t>Monzonite, hornblende quartz</t>
  </si>
  <si>
    <t>CG03-005</t>
  </si>
  <si>
    <t>CG03-005.jpg</t>
  </si>
  <si>
    <t>Mafic dyke containing granite enclaves</t>
  </si>
  <si>
    <t>VN91-294</t>
  </si>
  <si>
    <t>VN91-294.jpg</t>
  </si>
  <si>
    <t>Gneissosity in biotite garnet granodiorite gneiss; locally pseudomegacrystic</t>
  </si>
  <si>
    <t>VN91-295</t>
  </si>
  <si>
    <t>VN91-295.jpg</t>
  </si>
  <si>
    <t>Folded gneissosity in granodiorite gneiss</t>
  </si>
  <si>
    <t>VN91-296</t>
  </si>
  <si>
    <t>VN91-296.jpg</t>
  </si>
  <si>
    <t>VN91-298</t>
  </si>
  <si>
    <t>VN91-298.jpg</t>
  </si>
  <si>
    <t>VN92-160.2.jpg</t>
  </si>
  <si>
    <t>Concordant amphibolite and granodiorite</t>
  </si>
  <si>
    <t>AL78-090.2.jpg</t>
  </si>
  <si>
    <t>AL78-130</t>
  </si>
  <si>
    <t>AL78-130.jpg</t>
  </si>
  <si>
    <t>Quartz-rich (supracrustal?) dyke in Benedict-type granite</t>
  </si>
  <si>
    <t>AL78-132</t>
  </si>
  <si>
    <t>AL78-132.3.jpg</t>
  </si>
  <si>
    <t>Shoreline south of Seal Point, west of Stag Bay</t>
  </si>
  <si>
    <t>AL78-132.1.jpg</t>
  </si>
  <si>
    <t>Net-veined mafic dyke in Benedict-type granite</t>
  </si>
  <si>
    <t>AL78-132.2.jpg</t>
  </si>
  <si>
    <t>Gabbro dyke margin in Benedict granite - magma mingling</t>
  </si>
  <si>
    <t>AL78-134</t>
  </si>
  <si>
    <t>AL78-134.jpg</t>
  </si>
  <si>
    <t>Igneous layering in Adlavik gabbro</t>
  </si>
  <si>
    <t>AL78-135.2.jpg</t>
  </si>
  <si>
    <t>Adlavik gabbro with hornblende phenocrysts and thin mafic dyke</t>
  </si>
  <si>
    <t>CG98-126</t>
  </si>
  <si>
    <t>CG98-126.jpg</t>
  </si>
  <si>
    <t>Megacrystic late- to post-Grenvillian granite</t>
  </si>
  <si>
    <t>CG98-128.4.jpg</t>
  </si>
  <si>
    <t>Quartzofeldspathic gneiss; geochron. sample site</t>
  </si>
  <si>
    <t>XX87-051.2.jpg</t>
  </si>
  <si>
    <t>VO81-659</t>
  </si>
  <si>
    <t>VO81-659.jpg</t>
  </si>
  <si>
    <t>Migmatitic Hare Island quartz diorite</t>
  </si>
  <si>
    <t>VN84-192.2.jpg</t>
  </si>
  <si>
    <t>VN84-213</t>
  </si>
  <si>
    <t>VN84-213.jpg</t>
  </si>
  <si>
    <t>Deformed leucotroctolite</t>
  </si>
  <si>
    <t>CG93-493</t>
  </si>
  <si>
    <t>CG93-493.jpg</t>
  </si>
  <si>
    <t>CG80-349.2.jpg</t>
  </si>
  <si>
    <t>Attenuated mafic dyke (same dyke as in CG80-349.1)</t>
  </si>
  <si>
    <t>CG80-350.12.jpg</t>
  </si>
  <si>
    <t>Nebulitic granodiorite with discordant and tectonic contacts against mafic dyke; from air</t>
  </si>
  <si>
    <t>CG00-251</t>
  </si>
  <si>
    <t>CG00-251.jpg</t>
  </si>
  <si>
    <t>CG00-323</t>
  </si>
  <si>
    <t>CG00-323.jpg</t>
  </si>
  <si>
    <t>CG00-328</t>
  </si>
  <si>
    <t>CG00-328.jpg</t>
  </si>
  <si>
    <t>CG00-329</t>
  </si>
  <si>
    <t>CG00-329.jpg</t>
  </si>
  <si>
    <t>CG80-075</t>
  </si>
  <si>
    <t>CG80-075.jpg</t>
  </si>
  <si>
    <t>Quartz diorite with mafic dyke bounded by leucosome margins</t>
  </si>
  <si>
    <t>CG85-651</t>
  </si>
  <si>
    <t>CG85-651.2.jpg</t>
  </si>
  <si>
    <t>Enclave of quartz diorite in granite with later pegmatite</t>
  </si>
  <si>
    <t>CG85-651.1.jpg</t>
  </si>
  <si>
    <t>Shear band</t>
  </si>
  <si>
    <t>CG85-651.3.jpg</t>
  </si>
  <si>
    <t>Shear predating(?) granite</t>
  </si>
  <si>
    <t>CG81-175.01cropped.jpg</t>
  </si>
  <si>
    <t>CG81-190.1cropped.jpg</t>
  </si>
  <si>
    <t>CG81-279</t>
  </si>
  <si>
    <t>CG81-279cropped.jpg</t>
  </si>
  <si>
    <t>CG81-306.02cropped.jpg</t>
  </si>
  <si>
    <t>CG81-306.03cropped.jpg</t>
  </si>
  <si>
    <t>Base of layered unit, intruded by monzonite</t>
  </si>
  <si>
    <t>CG81-306.25cropped.jpg</t>
  </si>
  <si>
    <t>CG81-306.27cropped.jpg</t>
  </si>
  <si>
    <t>CG81-317.2cropped.jpg</t>
  </si>
  <si>
    <t>CG81-336</t>
  </si>
  <si>
    <t>CG81-336.1E.jpg</t>
  </si>
  <si>
    <t>No identity; ball-point pen labels</t>
  </si>
  <si>
    <t>Whale and metasedimentary gneiss</t>
  </si>
  <si>
    <t>CG81-336.2E.jpg</t>
  </si>
  <si>
    <t>CG81-384</t>
  </si>
  <si>
    <t>CG81-384cropped.jpg</t>
  </si>
  <si>
    <t>Hare Harbour tonalite/granodiorite gneiss, open to tight folded</t>
  </si>
  <si>
    <t>CG81-429.2cropped.jpg</t>
  </si>
  <si>
    <t>CG81-485</t>
  </si>
  <si>
    <t>CG81-485cropped.jpg</t>
  </si>
  <si>
    <t>Banded amphibolite-microgranite</t>
  </si>
  <si>
    <t>CG81-642</t>
  </si>
  <si>
    <t>CG81-642E.jpg</t>
  </si>
  <si>
    <t>Refolded gneiss intruded by metagabbro</t>
  </si>
  <si>
    <t>CG81-693</t>
  </si>
  <si>
    <t>CG81-693cropped.jpg</t>
  </si>
  <si>
    <t>Coarse-grained hornblende granite to quartz syenite</t>
  </si>
  <si>
    <t>CG81-739.1E.jpg</t>
  </si>
  <si>
    <t>Gabbro overlying tonalite/granodiorite gneiss</t>
  </si>
  <si>
    <t>AD79-091.1E.jpg</t>
  </si>
  <si>
    <t>Syenite with brecciated gabbro dykes</t>
  </si>
  <si>
    <t>AD79-091.2E.jpg</t>
  </si>
  <si>
    <t>AD79-125</t>
  </si>
  <si>
    <t>AD79-125E.jpg</t>
  </si>
  <si>
    <t>Localized late shear zone</t>
  </si>
  <si>
    <t>AD79-129</t>
  </si>
  <si>
    <t>AD79-129cropped.jpg</t>
  </si>
  <si>
    <t>sheared quartz monzonite</t>
  </si>
  <si>
    <t>AD79-183</t>
  </si>
  <si>
    <t>AD79-183E.jpg</t>
  </si>
  <si>
    <t>Benedict granite</t>
  </si>
  <si>
    <t>AD79-207</t>
  </si>
  <si>
    <t>AD79-207E.jpg</t>
  </si>
  <si>
    <t>Sheared and brecciated dyke rock</t>
  </si>
  <si>
    <t>AD79-219.5E.jpg</t>
  </si>
  <si>
    <t>Syenite xenoliths in granite to quartz monzonite, and Bill Collins</t>
  </si>
  <si>
    <t>AD79-261.1cropped.jpg</t>
  </si>
  <si>
    <t>AD79-304</t>
  </si>
  <si>
    <t>AD79-304cropped.jpg</t>
  </si>
  <si>
    <t>Finely banded felsic rocks - possible mylonite</t>
  </si>
  <si>
    <t>AD79-315</t>
  </si>
  <si>
    <t>AD79-315cropped.jpg</t>
  </si>
  <si>
    <t>Garnetiferous granite gneiss</t>
  </si>
  <si>
    <t>CG79-001.2cropped.jpg</t>
  </si>
  <si>
    <t>Granite intruded by granite dyke, then aplite, then shearing along aplite</t>
  </si>
  <si>
    <t>CG79-001.5E.jpg</t>
  </si>
  <si>
    <t>Shoreline north of Mt. Benedict looking west</t>
  </si>
  <si>
    <t>CG79-001.7E.jpg</t>
  </si>
  <si>
    <t>Tuchialik Bay camp with Benedict Mtns in background; 2.1 km e of data stn.</t>
  </si>
  <si>
    <t>CG79-002.1E.jpg</t>
  </si>
  <si>
    <t>Pamiulik Bay</t>
  </si>
  <si>
    <t>CG79-005.2E.jpg</t>
  </si>
  <si>
    <t>Pamiulik Bay vicinity</t>
  </si>
  <si>
    <t>CG99-014.07E.jpg</t>
  </si>
  <si>
    <t>Four Corners' Lake 7</t>
  </si>
  <si>
    <t>CG99-014.08E.jpg</t>
  </si>
  <si>
    <t>Four Corners' Lake 8</t>
  </si>
  <si>
    <t>CG99-014.09E.jpg</t>
  </si>
  <si>
    <t>Four Corners' Lake 9</t>
  </si>
  <si>
    <t>CG99-014.10E.jpg</t>
  </si>
  <si>
    <t>Four Corners' Lake 10</t>
  </si>
  <si>
    <t>CG99-021</t>
  </si>
  <si>
    <t>CG99-021E.jpg</t>
  </si>
  <si>
    <t>Foliated granite and caribou moss barrens</t>
  </si>
  <si>
    <t>CG99-058</t>
  </si>
  <si>
    <t>CG99-058E.jpg</t>
  </si>
  <si>
    <t>Monzonite from Upper Paradise River intrusion</t>
  </si>
  <si>
    <t>CG99-066.2E.jpg</t>
  </si>
  <si>
    <t>Banded, mylonitic mafic to felsic gneiss (granulitic?)</t>
  </si>
  <si>
    <t>CG99-071</t>
  </si>
  <si>
    <t>CG99-071E.jpg</t>
  </si>
  <si>
    <t>Hills in vicinity of Napetipi R. and Lac Guernesé</t>
  </si>
  <si>
    <t>CG99-073</t>
  </si>
  <si>
    <t>CG99-073.1E,jpg</t>
  </si>
  <si>
    <t>Hill in southeast corner of 13B01</t>
  </si>
  <si>
    <t>CG99-073.2E.jpg</t>
  </si>
  <si>
    <t>Hill in southeast corner of 13B01, looking northwest (6 km SE of CG99-073)</t>
  </si>
  <si>
    <t>CG99-073.3E.jpg</t>
  </si>
  <si>
    <t>Wetlands in central 13B01, looking west (2.5 km north of CG99-073)</t>
  </si>
  <si>
    <t>CG99-087</t>
  </si>
  <si>
    <t>CG99-087.1E.jpg</t>
  </si>
  <si>
    <t>Hills and lakes in 13B08, looking NW from CG99-087</t>
  </si>
  <si>
    <t>CG99-087.2E.jpg</t>
  </si>
  <si>
    <t>Hills and lakes in 13B08, looking W, 4 km NW of CG99-087</t>
  </si>
  <si>
    <t>CG99-184.2E.jpg</t>
  </si>
  <si>
    <t>SP and Cougar helicopter</t>
  </si>
  <si>
    <t>CG99-295</t>
  </si>
  <si>
    <t>CG99-295.1E.jpg</t>
  </si>
  <si>
    <t>CG99-354</t>
  </si>
  <si>
    <t>CG99-354E.jpg</t>
  </si>
  <si>
    <t>CG99-313</t>
  </si>
  <si>
    <t>CG99-313E.jpg</t>
  </si>
  <si>
    <t>Well-banded granitic to granodioritic gneiss</t>
  </si>
  <si>
    <t>CG00-154.03cropped.jpg</t>
  </si>
  <si>
    <t>Granodioritic/psammitic gneiss in contact with K-feldspar megacrystic rock</t>
  </si>
  <si>
    <t>CG00-169.3cropped.jpg</t>
  </si>
  <si>
    <t>CG00-221.4cropped.jpg</t>
  </si>
  <si>
    <t>CG00-264</t>
  </si>
  <si>
    <t>CG00-264cropped.jpg</t>
  </si>
  <si>
    <t>Quartzite and psammite</t>
  </si>
  <si>
    <t>CG00-272.2cropped.jpg</t>
  </si>
  <si>
    <t>CG00-284.1cropped.jpg</t>
  </si>
  <si>
    <t>CG00-319.4cropped.jpg</t>
  </si>
  <si>
    <t>Granodiorite with concordant pegmatitic veins</t>
  </si>
  <si>
    <t>CG03-102.2cropped.jpg</t>
  </si>
  <si>
    <t>CG03-214</t>
  </si>
  <si>
    <t>CG03-214cropped.jpg</t>
  </si>
  <si>
    <t>Amphibolite with garnet, partially retrograded</t>
  </si>
  <si>
    <t>CG03-354.4cropped.jpg</t>
  </si>
  <si>
    <t>CG04-028.2cropped.jpg</t>
  </si>
  <si>
    <t>CG04-090.2cropped.jpg</t>
  </si>
  <si>
    <t>CG04-104.2cropped.jpg</t>
  </si>
  <si>
    <t>General view of Long Range dykes (two dykes)</t>
  </si>
  <si>
    <t>CG04-245.7cropped.jpg</t>
  </si>
  <si>
    <t>Gabbro (meta), coronitic</t>
  </si>
  <si>
    <t>CG04-265.2cropped.jpg</t>
  </si>
  <si>
    <t>VN93-303</t>
  </si>
  <si>
    <t>VN93-303.jpg</t>
  </si>
  <si>
    <t>MC77-247.1.jpg</t>
  </si>
  <si>
    <t>MC77-248</t>
  </si>
  <si>
    <t>MC77-248.jpg</t>
  </si>
  <si>
    <t>Deformed K-feldspar megacrystic granodiorite (dextral)</t>
  </si>
  <si>
    <t>MC77-249.2.jpg</t>
  </si>
  <si>
    <t>Mylonitic tonalitic/granodioritic gneiss</t>
  </si>
  <si>
    <t>MC77-249.1.jpg</t>
  </si>
  <si>
    <t>VN91-001.5.jpg</t>
  </si>
  <si>
    <t>Pegmatite (containing small gneissic enclaves) intruding K-feldspar megacrystic granite</t>
  </si>
  <si>
    <t>VN91-001.4.jpg</t>
  </si>
  <si>
    <t>Weakly foliated to massive K-feldspar megacrystic granite</t>
  </si>
  <si>
    <t>VN91-264.15.jpg</t>
  </si>
  <si>
    <t>Symplectic  quartz-garnet intergrowth</t>
  </si>
  <si>
    <t>NN80-139</t>
  </si>
  <si>
    <t>NN80-139.2.jpg</t>
  </si>
  <si>
    <t>Mealy dyke</t>
  </si>
  <si>
    <t>NN80-141</t>
  </si>
  <si>
    <t>NN80-141.2.jpg</t>
  </si>
  <si>
    <t>NN80-141.1.jpg</t>
  </si>
  <si>
    <t>NN80-159</t>
  </si>
  <si>
    <t>NN80-159.jpg</t>
  </si>
  <si>
    <t>Granodioritic gneiss with pegmatite occupying fault surface</t>
  </si>
  <si>
    <t>NN80-162</t>
  </si>
  <si>
    <t>NN80-162.1.jpg</t>
  </si>
  <si>
    <t>Discordant amphibolite</t>
  </si>
  <si>
    <t>VN84-020.2.jpg</t>
  </si>
  <si>
    <t>VN93-222.2.jpg</t>
  </si>
  <si>
    <t>VN93-223</t>
  </si>
  <si>
    <t>VN93-223.jpg</t>
  </si>
  <si>
    <t>Coarse-grained granite with pegmatitic segregations, intruded by granitic vein</t>
  </si>
  <si>
    <t>VN93-226</t>
  </si>
  <si>
    <t>VN93-226.jpg</t>
  </si>
  <si>
    <t>VN93-234</t>
  </si>
  <si>
    <t>VN93-234.jpg</t>
  </si>
  <si>
    <t>CG84-172.13.jpg</t>
  </si>
  <si>
    <t>CG79-340.2.jpg</t>
  </si>
  <si>
    <t>Tonalitic and granodioritic gneiss</t>
  </si>
  <si>
    <t>CG79-340.5.jpg</t>
  </si>
  <si>
    <t>Isoclinally folded quartz-feldspar veins in amphibolite</t>
  </si>
  <si>
    <t>CG80-238.2.jpg</t>
  </si>
  <si>
    <t>CG81-175.11.jpg</t>
  </si>
  <si>
    <t>Boat powered by aircraft engine</t>
  </si>
  <si>
    <t>CG81-175.10.jpg</t>
  </si>
  <si>
    <t>JB in boat powered by aircraft engine</t>
  </si>
  <si>
    <t>CG81-175.09.jpg</t>
  </si>
  <si>
    <t>CG on Benson helicopter glider</t>
  </si>
  <si>
    <t>CG81-175.08.jpg</t>
  </si>
  <si>
    <t>JB on Benson helicopter glider</t>
  </si>
  <si>
    <t>CG81-175.04.jpg</t>
  </si>
  <si>
    <t>VN91-048</t>
  </si>
  <si>
    <t>VN91-048.jpg</t>
  </si>
  <si>
    <t>Banding in psammitic gneiss</t>
  </si>
  <si>
    <t>VN91-049.1.jpg</t>
  </si>
  <si>
    <t>HP92-030</t>
  </si>
  <si>
    <t>HP92-030E.jpg</t>
  </si>
  <si>
    <t>Wetlands in northeast part of Kyfanan Lake map region (pond is 2.7 km east of HP92-030 looking S)</t>
  </si>
  <si>
    <t>CG83-554</t>
  </si>
  <si>
    <t>CG83-554.3.jpg</t>
  </si>
  <si>
    <t>K-feldspar megacrystic granodiorite with megacrysts growing in enclaves</t>
  </si>
  <si>
    <t>CG83-555</t>
  </si>
  <si>
    <t>CG83-555.jpg</t>
  </si>
  <si>
    <t>Mafic dyke; boudinaged but discordance preserved</t>
  </si>
  <si>
    <t>CG84-008</t>
  </si>
  <si>
    <t>CG84-008.1.jpg</t>
  </si>
  <si>
    <t>Quartzofeldspathic gneiss, possibly from a metasedimentary protolith</t>
  </si>
  <si>
    <t>CG84-008.2.jpg</t>
  </si>
  <si>
    <t>CG84-022</t>
  </si>
  <si>
    <t>CG84-022.jpg</t>
  </si>
  <si>
    <t>Dioritic gneiss with thin amphibolitic layers</t>
  </si>
  <si>
    <t>CG84-071</t>
  </si>
  <si>
    <t>CG84-071.jpg</t>
  </si>
  <si>
    <t>Granodiorite to tonalite gneiss</t>
  </si>
  <si>
    <t>AL78-048</t>
  </si>
  <si>
    <t>AL78-048.jpg</t>
  </si>
  <si>
    <t>Diorite xenoliths in syenite</t>
  </si>
  <si>
    <t>AL78-056</t>
  </si>
  <si>
    <t>AL78-056.jpg</t>
  </si>
  <si>
    <t>Mafic (lamprophyric?) dyke in granite</t>
  </si>
  <si>
    <t>AL78-060</t>
  </si>
  <si>
    <t>AL78-060.jpg</t>
  </si>
  <si>
    <t>AL78-070</t>
  </si>
  <si>
    <t>AL78-070.jpg</t>
  </si>
  <si>
    <t>Contact between Benedict-type granite and gabbro</t>
  </si>
  <si>
    <t>AL78-077</t>
  </si>
  <si>
    <t>AL78-077.jpg</t>
  </si>
  <si>
    <t>Benedict-type granite with mafic xenolith</t>
  </si>
  <si>
    <t>CG86-392</t>
  </si>
  <si>
    <t>CG86-392.1.jpg</t>
  </si>
  <si>
    <t>Mylonitized K-feldspar porphyroclastic gneiss</t>
  </si>
  <si>
    <t>CG86-392.2.jpg</t>
  </si>
  <si>
    <t>SN86-442</t>
  </si>
  <si>
    <t>SN86-442.jpg</t>
  </si>
  <si>
    <t>SP85-133.4.jpg</t>
  </si>
  <si>
    <t>Spotted Island</t>
  </si>
  <si>
    <t>CG99-351</t>
  </si>
  <si>
    <t>CG99-351.jpg</t>
  </si>
  <si>
    <t>CG98-290</t>
  </si>
  <si>
    <t>CG98-290.jpg</t>
  </si>
  <si>
    <t>Two-pyroxene mafic granulite</t>
  </si>
  <si>
    <t>CG98-292.2.jpg</t>
  </si>
  <si>
    <t>HP92-140.3.jpg</t>
  </si>
  <si>
    <t>Foliated granite and later discordant vein</t>
  </si>
  <si>
    <t>HP92-140.1.jpg</t>
  </si>
  <si>
    <t>HP92-143.5E.jpg</t>
  </si>
  <si>
    <t>HP92-143.3.jpg</t>
  </si>
  <si>
    <t>HP92-162.2.jpg</t>
  </si>
  <si>
    <t>Waterfall on Tributary of St. Paul River and Upper St. Paul River (east) monzonite</t>
  </si>
  <si>
    <t>HP92-166</t>
  </si>
  <si>
    <t>HP92-166.3.jpg</t>
  </si>
  <si>
    <t>Folded pegmatite in fine-grained granite</t>
  </si>
  <si>
    <t>HP92-166.1.jpg</t>
  </si>
  <si>
    <t>HP92-166.2.jpg</t>
  </si>
  <si>
    <t>HP92-167</t>
  </si>
  <si>
    <t>HP92-167.jpg</t>
  </si>
  <si>
    <t>Coarse-grained amphibole-bearing syenite</t>
  </si>
  <si>
    <t>HP92-170</t>
  </si>
  <si>
    <t>HP92-170.2.jpg</t>
  </si>
  <si>
    <t>Amphibole pod in coarse-grained syenite</t>
  </si>
  <si>
    <t>HP92-170.1.jpg</t>
  </si>
  <si>
    <t>VN84-216</t>
  </si>
  <si>
    <t>VN84-216.jpg</t>
  </si>
  <si>
    <t>Coronitic texture in leucotroctolite</t>
  </si>
  <si>
    <t>VN85-398</t>
  </si>
  <si>
    <t>VN85-398.2.jpg</t>
  </si>
  <si>
    <t>VN85-398.1.jpg</t>
  </si>
  <si>
    <t>VN85-402</t>
  </si>
  <si>
    <t>VN85-402.jpg</t>
  </si>
  <si>
    <t>Strongly foliated to gneissic quartz diorite</t>
  </si>
  <si>
    <t>VN85-410.1.jpg</t>
  </si>
  <si>
    <t>MAY 85T4</t>
  </si>
  <si>
    <t>Strongly deformed amphibolite with quart diorite gneiss</t>
  </si>
  <si>
    <t>VN85-410.2.jpg</t>
  </si>
  <si>
    <t>Strongly deformed/migmatized amphibolite</t>
  </si>
  <si>
    <t>JA92-045</t>
  </si>
  <si>
    <t>JA92-045.jpg</t>
  </si>
  <si>
    <t>Granite and amphibolite veins in foliated granite</t>
  </si>
  <si>
    <t>JS86-080</t>
  </si>
  <si>
    <t>JS86-080.2.jpg</t>
  </si>
  <si>
    <t>Pseudomorphed cordierite in metasedimentary gneiss</t>
  </si>
  <si>
    <t>JS86-080.1.jpg</t>
  </si>
  <si>
    <t>MN86-358.1.jpg</t>
  </si>
  <si>
    <t>Anorthosite, gabbro ultramafic layers</t>
  </si>
  <si>
    <t>VO81-020</t>
  </si>
  <si>
    <t>VO81-020.1.jpg</t>
  </si>
  <si>
    <t>VO81-020.2.jpg</t>
  </si>
  <si>
    <t>MC77-254</t>
  </si>
  <si>
    <t>MC77-254.2.jpg</t>
  </si>
  <si>
    <t>MC77-254.1.jpg</t>
  </si>
  <si>
    <t>MN86-004</t>
  </si>
  <si>
    <t>MN86-004.jpg</t>
  </si>
  <si>
    <t>Rotated K-feldspar porphyroclasts in megacrystic granite</t>
  </si>
  <si>
    <t>MN86-007</t>
  </si>
  <si>
    <t>MN86-007.jpg</t>
  </si>
  <si>
    <t>Garnet in deformed granitic gneiss</t>
  </si>
  <si>
    <t>MN86-009.1.jpg</t>
  </si>
  <si>
    <t>Sinistral rotation in mafic clot within dioritic (metaleuconorite?) gneiss</t>
  </si>
  <si>
    <t>MN86-444</t>
  </si>
  <si>
    <t>MN86-444.jpg</t>
  </si>
  <si>
    <t>K-feldspar megacrystic granodiorite in contact with sillimanite metasedimentary gneiss</t>
  </si>
  <si>
    <t>MN86-451</t>
  </si>
  <si>
    <t>MN86-451.jpg</t>
  </si>
  <si>
    <t>Interbanded amphibolite and granite</t>
  </si>
  <si>
    <t>GM85-592.5.jpg</t>
  </si>
  <si>
    <t>CG03-006</t>
  </si>
  <si>
    <t>CG03-006.jpg</t>
  </si>
  <si>
    <t>CG03-007</t>
  </si>
  <si>
    <t>CG03-007.jpg</t>
  </si>
  <si>
    <t>Granite, foliated containing tonalite enclave</t>
  </si>
  <si>
    <t>XX87-053</t>
  </si>
  <si>
    <t>XX87-053.jpg</t>
  </si>
  <si>
    <t>Deformed granitoid veins in amphibolite</t>
  </si>
  <si>
    <t>VO92-020.1.jpg</t>
  </si>
  <si>
    <t>Ultramafic layer in supracrustal rocks</t>
  </si>
  <si>
    <t>DD91-076</t>
  </si>
  <si>
    <t>DD91-076.jpg</t>
  </si>
  <si>
    <t>Granitic/granodioritic gneiss</t>
  </si>
  <si>
    <t>DD91-077</t>
  </si>
  <si>
    <t>DD91-077.jpg</t>
  </si>
  <si>
    <t>Weakly foliated gabbro (Long Range dyke? - CFG; but T.S. from here is mafic granulite)</t>
  </si>
  <si>
    <t>DD91-080.1.jpg</t>
  </si>
  <si>
    <t>Late northeast-trending brittle fault</t>
  </si>
  <si>
    <t>DD91-080.3.jpg</t>
  </si>
  <si>
    <t>Quartz veins in northeast-trending fault</t>
  </si>
  <si>
    <t>DD91-082</t>
  </si>
  <si>
    <t>DD91-082.jpg</t>
  </si>
  <si>
    <t>DD91-026</t>
  </si>
  <si>
    <t>DD91-026.1.jpg</t>
  </si>
  <si>
    <t>K-feldspar megacrystic (augen) gneiss</t>
  </si>
  <si>
    <t>DD91-026.2.jpg</t>
  </si>
  <si>
    <t>DD91-028</t>
  </si>
  <si>
    <t>DD91-028.jpg</t>
  </si>
  <si>
    <t>VN92-108.6.jpg</t>
  </si>
  <si>
    <t>Coarse-grained zone in metagabbro</t>
  </si>
  <si>
    <t>VN92-114</t>
  </si>
  <si>
    <t>VN92-114.2.jpg</t>
  </si>
  <si>
    <t>VN92-114.1.jpg</t>
  </si>
  <si>
    <t>VN92-117</t>
  </si>
  <si>
    <t>VN92-117.jpg</t>
  </si>
  <si>
    <t>Anorthosite intruded by granitic veins</t>
  </si>
  <si>
    <t>VN92-118.5.jpg</t>
  </si>
  <si>
    <t>DD91-025</t>
  </si>
  <si>
    <t>DD91-025.3.jpg</t>
  </si>
  <si>
    <t>Fold hinge in metasedimentary gneiss</t>
  </si>
  <si>
    <t>DD91-025.4.jpg</t>
  </si>
  <si>
    <t>DD91-025.5.jpg</t>
  </si>
  <si>
    <t>DD91-025.1.jpg</t>
  </si>
  <si>
    <t>Contact between metasedimentary gneiss and K-feldspar megacrystic granite</t>
  </si>
  <si>
    <t>DD91-025.2.jpg</t>
  </si>
  <si>
    <t>VN93-526.2.jpg</t>
  </si>
  <si>
    <t>CG87-455.3.jpg</t>
  </si>
  <si>
    <t>MN86-358.3.jpg</t>
  </si>
  <si>
    <t>Troctolite</t>
  </si>
  <si>
    <t>RG80-005.2.jpg</t>
  </si>
  <si>
    <t>RG80-005.1jpg</t>
  </si>
  <si>
    <t>Tight folding in amphibolitic and granodioritic gneiss</t>
  </si>
  <si>
    <t>VN93-214</t>
  </si>
  <si>
    <t>VN93-214.1.jpg</t>
  </si>
  <si>
    <t>VN93-214.2.jpg</t>
  </si>
  <si>
    <t>VN93-214.3.jpg</t>
  </si>
  <si>
    <t>Magnetite crystal in coarse-grained granite</t>
  </si>
  <si>
    <t>VN93-215.2.jpg</t>
  </si>
  <si>
    <t>Deformed amphibolite in K-feldspar megacrystic granodiorite gneiss</t>
  </si>
  <si>
    <t>VN93-215.1.jpg</t>
  </si>
  <si>
    <t>K-feldspar megacrystic granodiorite gneiss</t>
  </si>
  <si>
    <t>CG03-060.2.jpg</t>
  </si>
  <si>
    <t>CG03-060.3.jpg</t>
  </si>
  <si>
    <t>Mafic dyke intruding granite and pegmatite containing chalcopyrite adjacent to mafic dyke</t>
  </si>
  <si>
    <t>VO81-021.1.jpg</t>
  </si>
  <si>
    <t>In situ leucosome and partial melt</t>
  </si>
  <si>
    <t>VO92-023</t>
  </si>
  <si>
    <t>VO92-023.2.jpg</t>
  </si>
  <si>
    <t>Conglomerate(?) in amphibolitic matrix</t>
  </si>
  <si>
    <t>VO92-023.1.jpg</t>
  </si>
  <si>
    <t>Malachite staining in arenite</t>
  </si>
  <si>
    <t>VO92-024.2.jpg</t>
  </si>
  <si>
    <t>Magnetite-depleted haloes</t>
  </si>
  <si>
    <t>VO92-024.1.jpg</t>
  </si>
  <si>
    <t>Quartz pebbles in amphibolite</t>
  </si>
  <si>
    <t>VO92-024.4.jpg</t>
  </si>
  <si>
    <t>Microcline fragments in meta-arenite</t>
  </si>
  <si>
    <t>VO92-024.3.jpg</t>
  </si>
  <si>
    <t>JG and VO</t>
  </si>
  <si>
    <t>CG86-490.8.jpg</t>
  </si>
  <si>
    <t>Deformed K-feldspar megacrystic granodiorite - host rock to Gilbert conglomerate</t>
  </si>
  <si>
    <t>CG86-490.7.jpg</t>
  </si>
  <si>
    <t>CG99-405</t>
  </si>
  <si>
    <t>CG99-405.jpg</t>
  </si>
  <si>
    <t>Hornblende-biotite monzonite (late-Grenvillian?)</t>
  </si>
  <si>
    <t>CG81-009</t>
  </si>
  <si>
    <t>CG81-009.jpg</t>
  </si>
  <si>
    <t>Hornblende quartz diorite intruded by pegmatite, then mafic dyke, then metamorphosed</t>
  </si>
  <si>
    <t>CG81-014</t>
  </si>
  <si>
    <t>CG81-014.jpg</t>
  </si>
  <si>
    <t>CG81-028</t>
  </si>
  <si>
    <t>CG81-028.jpg</t>
  </si>
  <si>
    <t>Cartwright</t>
  </si>
  <si>
    <t>JS87-089</t>
  </si>
  <si>
    <t>JS87-089.jpg</t>
  </si>
  <si>
    <t>VN87-496</t>
  </si>
  <si>
    <t>VN87-496.jpg</t>
  </si>
  <si>
    <t>Strongly deformed K-feldspar megacrystic granite</t>
  </si>
  <si>
    <t>VN87-499</t>
  </si>
  <si>
    <t>VN87-499.jpg</t>
  </si>
  <si>
    <t>Igneous layering in metagabbro near contact with foliated granite</t>
  </si>
  <si>
    <t>VN87-500</t>
  </si>
  <si>
    <t>VN87-500.jpg</t>
  </si>
  <si>
    <t>Recrystallized granite inclusion in metagabbro</t>
  </si>
  <si>
    <t>VN87-506.1.jpg</t>
  </si>
  <si>
    <t>Well-banded biotite granite gneiss</t>
  </si>
  <si>
    <t>VN87-508</t>
  </si>
  <si>
    <t>VN87-508.2.jpg</t>
  </si>
  <si>
    <t>Pegmatite intruding amphibolite dykes</t>
  </si>
  <si>
    <t>VN87-508.1.jpg</t>
  </si>
  <si>
    <t>Microgranite dykes intruding amphibolite dykes</t>
  </si>
  <si>
    <t>VN87-509</t>
  </si>
  <si>
    <t>VN87-509.jpg</t>
  </si>
  <si>
    <t>Megacrystic enclave in biotite granodiorite dyke</t>
  </si>
  <si>
    <t>VN91-001.3.jpg</t>
  </si>
  <si>
    <t>VN91-001.1.jpg</t>
  </si>
  <si>
    <t>CG98-030</t>
  </si>
  <si>
    <t>CG98-030.jpg</t>
  </si>
  <si>
    <t>Fine-grained, laminated granitoid rocks associated with monzonite</t>
  </si>
  <si>
    <t>SN86-170</t>
  </si>
  <si>
    <t>SN86-170.jpg</t>
  </si>
  <si>
    <t>Tightly folded vein in amphibolite</t>
  </si>
  <si>
    <t>SN86-173</t>
  </si>
  <si>
    <t>SN86-173.jpg</t>
  </si>
  <si>
    <t>Garnetiferous augen gneiss</t>
  </si>
  <si>
    <t>SN86-176</t>
  </si>
  <si>
    <t>SN86-176.jpg</t>
  </si>
  <si>
    <t>Primary layering in White Bear Arm gabbronorite: MH</t>
  </si>
  <si>
    <t>GM85-624.2.jpg</t>
  </si>
  <si>
    <t>GM85-624.4.jpg</t>
  </si>
  <si>
    <t>GM85-626</t>
  </si>
  <si>
    <t>GM85-626.jpg</t>
  </si>
  <si>
    <t>Hornblende quartz diorite veins in amphibolite</t>
  </si>
  <si>
    <t>GM85-628</t>
  </si>
  <si>
    <t>GM85-628.jpg</t>
  </si>
  <si>
    <t>Feldspar-phyric dyke intruding granite</t>
  </si>
  <si>
    <t>AL78-045</t>
  </si>
  <si>
    <t>AL78-045.jpg</t>
  </si>
  <si>
    <t>Igneous layering in syenite - related to Adlavik complex?</t>
  </si>
  <si>
    <t>AL78-046</t>
  </si>
  <si>
    <t>AL78-046.2.jpg</t>
  </si>
  <si>
    <t>Disrupted mafic dyke in syenite</t>
  </si>
  <si>
    <t>AL78-046.1.jpg</t>
  </si>
  <si>
    <t>Cognate dioritic xenoliths in slightly porphyritic syenite</t>
  </si>
  <si>
    <t>NN80-008.1.jpg</t>
  </si>
  <si>
    <t>NN80-009</t>
  </si>
  <si>
    <t>NN80-009.jpg</t>
  </si>
  <si>
    <t>Diopside-rich layer in calc-silicate layer in metasedimentary gneiss</t>
  </si>
  <si>
    <t>VO92-024.5.jpg</t>
  </si>
  <si>
    <t>Banded maroon arenite</t>
  </si>
  <si>
    <t>VO92-024.6.jpg</t>
  </si>
  <si>
    <t>Banded creamy arenite</t>
  </si>
  <si>
    <t>VO92-024.7.jpg</t>
  </si>
  <si>
    <t>VN92-213.1.jpg</t>
  </si>
  <si>
    <t>VN92-213.3.jpg</t>
  </si>
  <si>
    <t>VN92-218.4.jpg</t>
  </si>
  <si>
    <t>Amphibolite dyke intruding foliated monzonite and then by pegmatite veins</t>
  </si>
  <si>
    <t>VN93-033.09.jpg</t>
  </si>
  <si>
    <t>Aerial view of fog in Red Bay area 3</t>
  </si>
  <si>
    <t>CG86-688.1.jpg</t>
  </si>
  <si>
    <t>Enclave of medium-grained granite containing biotite-rich enclave in turn (in Gilbert Bay pluton)</t>
  </si>
  <si>
    <t>CG86-754.3.jpg</t>
  </si>
  <si>
    <t>CG87-004.2.jpg</t>
  </si>
  <si>
    <t>CG87-166.3.jpg</t>
  </si>
  <si>
    <t>Sand Hill Big Pond with White Hills in background</t>
  </si>
  <si>
    <t>CG87-166.1.jpg</t>
  </si>
  <si>
    <t>CG87-166.4.jpg</t>
  </si>
  <si>
    <t>CG87-168</t>
  </si>
  <si>
    <t>CG87-168.jpg</t>
  </si>
  <si>
    <t>Cordierite hypersthene anhydrous metasedimentary gneiss</t>
  </si>
  <si>
    <t>CG87-169</t>
  </si>
  <si>
    <t>CG87-169.jpg</t>
  </si>
  <si>
    <t>Mafic dykelet intruding anhydrous metasedimentary gneiss; both intruded by pegmatitic vein</t>
  </si>
  <si>
    <t>CG87-174</t>
  </si>
  <si>
    <t>CG87-174.jpg</t>
  </si>
  <si>
    <t>Severely buckled pegmatite within gneiss; subsequently intruded by still planar pegmatite</t>
  </si>
  <si>
    <t>CG87-177</t>
  </si>
  <si>
    <t>CG87-177.jpg</t>
  </si>
  <si>
    <t>Garnet-bearing amphibolite gneiss</t>
  </si>
  <si>
    <t>CG87-222</t>
  </si>
  <si>
    <t>CG87-222.jpg</t>
  </si>
  <si>
    <t>Microgranite-pegmatite association</t>
  </si>
  <si>
    <t>CG87-231</t>
  </si>
  <si>
    <t>CG87-231.1.jpg</t>
  </si>
  <si>
    <t>Chateau Pond late- to post Grenvillian granite</t>
  </si>
  <si>
    <t>CG87-231.2.jpg</t>
  </si>
  <si>
    <t>CG87-262</t>
  </si>
  <si>
    <t>CG87-262.1.jpg</t>
  </si>
  <si>
    <t>Gneissic granitoid rocks</t>
  </si>
  <si>
    <t>CG87-262.2.jpg</t>
  </si>
  <si>
    <t>CG87-415.1.jpg</t>
  </si>
  <si>
    <t>Banded granitic gneiss; possibly of volcanic origin</t>
  </si>
  <si>
    <t>GF81-075.1E.jpg</t>
  </si>
  <si>
    <t>GF81-105.1cropped.jpg</t>
  </si>
  <si>
    <t>GF81-167.3cropped.jpg</t>
  </si>
  <si>
    <t>VO81-023.2E.jpg</t>
  </si>
  <si>
    <t>View of unidentified shoreline</t>
  </si>
  <si>
    <t>VO81-023.3E.jpg</t>
  </si>
  <si>
    <t>VO81-058.1E.jpg</t>
  </si>
  <si>
    <t>Brecciated zone of amphibolite; Ann Walsh</t>
  </si>
  <si>
    <t>VO81-082</t>
  </si>
  <si>
    <t>VO81-082E.jpg</t>
  </si>
  <si>
    <t>Diorite intruded by amphibolite then aplite, with GW</t>
  </si>
  <si>
    <t>VO81-093</t>
  </si>
  <si>
    <t>VO81-093E.jpg</t>
  </si>
  <si>
    <t>Tight, overturned north-verging fold</t>
  </si>
  <si>
    <t>VO81-104</t>
  </si>
  <si>
    <t>VO81-104E.jpg</t>
  </si>
  <si>
    <t>VO81-107</t>
  </si>
  <si>
    <t>VO81-107E.jpg</t>
  </si>
  <si>
    <t>Amphibolite intruded by aplite and pegmatite</t>
  </si>
  <si>
    <t>CG95-005</t>
  </si>
  <si>
    <t>CG95-005cropped.jpg</t>
  </si>
  <si>
    <t>Quartz vein in granite</t>
  </si>
  <si>
    <t>VO81-123.4cropped.jpg</t>
  </si>
  <si>
    <t>VO81-137</t>
  </si>
  <si>
    <t>VO81-137cropped.jpg</t>
  </si>
  <si>
    <t>Long Range dyke; leucogabbro intruded by diabase</t>
  </si>
  <si>
    <t>VO81-579.5E.jpg</t>
  </si>
  <si>
    <t>Recumbent isoclinal folds in gneiss</t>
  </si>
  <si>
    <t>CG82-028.1cropped.jpg</t>
  </si>
  <si>
    <t>Mafic dyke in tonalitic gneiss intruded by Michael gabbro</t>
  </si>
  <si>
    <t>CG93-187.1cropped.jpg</t>
  </si>
  <si>
    <t>Texture in granodiorite</t>
  </si>
  <si>
    <t>CG93-239</t>
  </si>
  <si>
    <t>CG93-239cropped.jpg</t>
  </si>
  <si>
    <t>Black-weathering hills within broad valley (mapped by H. Bostock as mangeronorite)</t>
  </si>
  <si>
    <t>CG93-250.1cropped.jpg</t>
  </si>
  <si>
    <t>CG93-265</t>
  </si>
  <si>
    <t>CG93-265cropped.jpg</t>
  </si>
  <si>
    <t>Lensoid shapes in fine-grained quartzofeldspathic rocks (volcanic fragments?)</t>
  </si>
  <si>
    <t>CG93-268.2cropped.jpg</t>
  </si>
  <si>
    <t>CG93-300.1cropped.jpg</t>
  </si>
  <si>
    <t>Discordant, net-veined mafic dyke</t>
  </si>
  <si>
    <t>CG93-300.4cropped.jpg</t>
  </si>
  <si>
    <t>CG93-306.2cropped.jpg</t>
  </si>
  <si>
    <t>CG93-306.3cropped.jpg</t>
  </si>
  <si>
    <t>Banded metasedimentary gneiss, less migmatized</t>
  </si>
  <si>
    <t>CG93-380</t>
  </si>
  <si>
    <t>CG93-380cropped.jpg</t>
  </si>
  <si>
    <t>Texture in coarse-grained gabbronorite</t>
  </si>
  <si>
    <t>CG93-459.1cropped.jpg</t>
  </si>
  <si>
    <t>Marble layer (yellowish)  in quartz-rich metasedimentary gneiss</t>
  </si>
  <si>
    <t>CG93-479</t>
  </si>
  <si>
    <t>CG93-479.1cropped.jpg</t>
  </si>
  <si>
    <t>Massive late- to post-Grenvillian hornblende quartz monzonite</t>
  </si>
  <si>
    <t>CG93-479.2cropped.jpg</t>
  </si>
  <si>
    <t>CG93-499</t>
  </si>
  <si>
    <t>CG93-499cropped.jpg</t>
  </si>
  <si>
    <t>Stokers Hill late- to post-Grenvillian granite</t>
  </si>
  <si>
    <t>CG79-802</t>
  </si>
  <si>
    <t>CG79-802cropped.jpg</t>
  </si>
  <si>
    <t>Transposition of gneissosity in tonalite/granodiorite gneiss</t>
  </si>
  <si>
    <t>CG79-820</t>
  </si>
  <si>
    <t>CG79-820E.jpg</t>
  </si>
  <si>
    <t>Little Black Island from the east</t>
  </si>
  <si>
    <t>CG79-844</t>
  </si>
  <si>
    <t>CG79-844E.jpg</t>
  </si>
  <si>
    <t>Looking toward Catos Island from north of Black Island</t>
  </si>
  <si>
    <t>CG79-079</t>
  </si>
  <si>
    <t>CG79-079cropped.jpg</t>
  </si>
  <si>
    <t>CG80-008.2E.jpg</t>
  </si>
  <si>
    <t>Whale</t>
  </si>
  <si>
    <t>CG80-008.3E.jpg</t>
  </si>
  <si>
    <t>CG80-023.2cropped.jpg</t>
  </si>
  <si>
    <t>Interlayered microgranite and amphibolite. Mylonite_x000D_
Mylonite</t>
  </si>
  <si>
    <t>CG80-048</t>
  </si>
  <si>
    <t>CG80-048E.jpg</t>
  </si>
  <si>
    <t>JP, RE and DC paleomag. Sampling</t>
  </si>
  <si>
    <t>CG80-054.3E.jpg</t>
  </si>
  <si>
    <t>CG80-073</t>
  </si>
  <si>
    <t>CG80-073E.jpg</t>
  </si>
  <si>
    <t>Community of Rigolet from northeast</t>
  </si>
  <si>
    <t>CG80-074</t>
  </si>
  <si>
    <t>CG80-074cropped.jpg</t>
  </si>
  <si>
    <t>Quartz diorite showing incipient melting</t>
  </si>
  <si>
    <t>CG80-102.01E.jpg</t>
  </si>
  <si>
    <t>Community of Rigolet from southeast</t>
  </si>
  <si>
    <t>CG80-102.02E.jpg</t>
  </si>
  <si>
    <t>Community of Rigolet 2</t>
  </si>
  <si>
    <t>CG80-102.03E.jpg</t>
  </si>
  <si>
    <t>Community of Rigolet 3</t>
  </si>
  <si>
    <t>CG80-102.05E.jpg</t>
  </si>
  <si>
    <t>Community of Rigolet 5</t>
  </si>
  <si>
    <t>CG80-102.10E.jpg</t>
  </si>
  <si>
    <t>N and G in Rigolet 1</t>
  </si>
  <si>
    <t>CG80-102.13E.jpg</t>
  </si>
  <si>
    <t>Rigolet; rented house and tents</t>
  </si>
  <si>
    <t>CG80-102.15E.jpg</t>
  </si>
  <si>
    <t>Rigolet 1</t>
  </si>
  <si>
    <t>CG80-102.16E.jpg</t>
  </si>
  <si>
    <t>Rigolet 2</t>
  </si>
  <si>
    <t>CG80-102.17E.jpg</t>
  </si>
  <si>
    <t>Rigolet 3</t>
  </si>
  <si>
    <t>CG80-102.18E.jpg</t>
  </si>
  <si>
    <t>Rigolet 4</t>
  </si>
  <si>
    <t>CG80-102.19E.jpg</t>
  </si>
  <si>
    <t>Rigolet; Universal's helicopter</t>
  </si>
  <si>
    <t>CG80-102.20E.jpg</t>
  </si>
  <si>
    <t>Rigolet 5</t>
  </si>
  <si>
    <t>CG80-102.23E.jpg</t>
  </si>
  <si>
    <t>Rigolet 8</t>
  </si>
  <si>
    <t>CG80-102.24E.jpg</t>
  </si>
  <si>
    <t>Rigolet 9</t>
  </si>
  <si>
    <t>CG80-102.25E.jpg</t>
  </si>
  <si>
    <t>Rigolet 10</t>
  </si>
  <si>
    <t>CG80-102.26E.jpg</t>
  </si>
  <si>
    <t>RG and MT at start of Goose Bay - Rigolet trip</t>
  </si>
  <si>
    <t>CG80-102.27E.jpg</t>
  </si>
  <si>
    <t>MR and LG at start of Goose Bay - Rigolet trip</t>
  </si>
  <si>
    <t>CG80-113.7E.jpg</t>
  </si>
  <si>
    <t>The Narrows, looking northeast</t>
  </si>
  <si>
    <t>CG80-122.2E.jpg</t>
  </si>
  <si>
    <t>Cemetery</t>
  </si>
  <si>
    <t>CG80-122.3E.jpg</t>
  </si>
  <si>
    <t>CG80-127.1E.jpg</t>
  </si>
  <si>
    <t>CG80-128</t>
  </si>
  <si>
    <t>CG80-128E.jpg</t>
  </si>
  <si>
    <t>CG80-350.08cropped.jpg</t>
  </si>
  <si>
    <t>CG80-350.09E.jpg</t>
  </si>
  <si>
    <t>Gneissosity in nebulitic granodiorite</t>
  </si>
  <si>
    <t>CG80-350.13cropped.jpg</t>
  </si>
  <si>
    <t>CG80-351.2cropped.jpg</t>
  </si>
  <si>
    <t>CG80-397</t>
  </si>
  <si>
    <t>CG80-397E.jpg</t>
  </si>
  <si>
    <t>Summer cabins at Fish Cove</t>
  </si>
  <si>
    <t>CG80-639.1E.jpg</t>
  </si>
  <si>
    <t>Porcupine strand, north end</t>
  </si>
  <si>
    <t>CG80-645</t>
  </si>
  <si>
    <t>CG80-645E.jpg</t>
  </si>
  <si>
    <t>Saddle Island from the south</t>
  </si>
  <si>
    <t>CG80-685.1E.jpg</t>
  </si>
  <si>
    <t>Tootons Nov 91</t>
  </si>
  <si>
    <t>CG80-685.2cropped.jpg</t>
  </si>
  <si>
    <t>CG80-694.1cropped.jpg</t>
  </si>
  <si>
    <t>Biotite granodiorite intruded by pegmatite then mafic dyke</t>
  </si>
  <si>
    <t>CG80-694.4cropped.jpg</t>
  </si>
  <si>
    <t>CG80-697.2cropped.jpg</t>
  </si>
  <si>
    <t>Complex refolding</t>
  </si>
  <si>
    <t>NN80-008.2cropped.jpg</t>
  </si>
  <si>
    <t>NN80-136</t>
  </si>
  <si>
    <t>NN80-136E.jpg</t>
  </si>
  <si>
    <t>Mealy dyke in anorthosite, and MT</t>
  </si>
  <si>
    <t>NN80-139.1E.jpg</t>
  </si>
  <si>
    <t>NN80-148.1cropped.jpg</t>
  </si>
  <si>
    <t>NN80-162.2E.jpg</t>
  </si>
  <si>
    <t>Discordant amphibolite dyke</t>
  </si>
  <si>
    <t>NN80-175.4E.jpg</t>
  </si>
  <si>
    <t>Fracture cleavage</t>
  </si>
  <si>
    <t>NN80-209</t>
  </si>
  <si>
    <t>NN80-209E.jpg</t>
  </si>
  <si>
    <t>St John Island, and possibly a major overturned south-verging fold</t>
  </si>
  <si>
    <t>NN80-219</t>
  </si>
  <si>
    <t>NN80-219cropped.jpg</t>
  </si>
  <si>
    <t>Double Mer Formation - Green Island sandstone</t>
  </si>
  <si>
    <t>NN80-274.4cropped.jpg</t>
  </si>
  <si>
    <t>RG80-011.1cropped.jpg</t>
  </si>
  <si>
    <t>Isoclinal folding of K-feldspar megacrystic granodiorite and amphibolite</t>
  </si>
  <si>
    <t>RG80-038.4E.jpg</t>
  </si>
  <si>
    <t>Rainbow 2</t>
  </si>
  <si>
    <t>RG80-052.2cropped.jpg</t>
  </si>
  <si>
    <t>Isoclinally folded mylonitic and amphibolitic gneiss</t>
  </si>
  <si>
    <t>RG80-104.1cropped.jpg</t>
  </si>
  <si>
    <t>RG80-132</t>
  </si>
  <si>
    <t>RG80-132E.jpg</t>
  </si>
  <si>
    <t>Sheared granodiorite to quartz diorite gneiss</t>
  </si>
  <si>
    <t>RG80-133.13cropped.jpg</t>
  </si>
  <si>
    <t>CG81-081.3cropped.jpg</t>
  </si>
  <si>
    <t>Double Mer Formation - Sandwich Bay conglomerate (duplicate)</t>
  </si>
  <si>
    <t>CG79-005.3cropped.jpg</t>
  </si>
  <si>
    <t>Bouldery brecciated gabbro dyke</t>
  </si>
  <si>
    <t>CG79-018.1cropped.jpg</t>
  </si>
  <si>
    <t>Cross-bedding in Aillik Group correlative felsic volcanic rocks</t>
  </si>
  <si>
    <t>CG79-018.2cropped.jpg</t>
  </si>
  <si>
    <t>Felsic agglomerate in Aillik Group correlative felsic volcanic rocks</t>
  </si>
  <si>
    <t>CG79-037</t>
  </si>
  <si>
    <t>CG79-037cropped.jpg</t>
  </si>
  <si>
    <t>Coarse-grained hornblende granite</t>
  </si>
  <si>
    <t>CG79-048.3cropped.jpg</t>
  </si>
  <si>
    <t>CG79-050.2cropped.jpg</t>
  </si>
  <si>
    <t>Two phases of mafic dyke injection in granite</t>
  </si>
  <si>
    <t>CG79-054.2cropped.jpg</t>
  </si>
  <si>
    <t>CG83-305.3cropped.jpg</t>
  </si>
  <si>
    <t>CG83-328.4cropped.jpg</t>
  </si>
  <si>
    <t>CG83-376.1E.jpg</t>
  </si>
  <si>
    <t>CG83-411.3cropped.jpg</t>
  </si>
  <si>
    <t>CG83-551</t>
  </si>
  <si>
    <t>CG83-551E.jpg</t>
  </si>
  <si>
    <t>Mealy Mountains from the east, with Peter King</t>
  </si>
  <si>
    <t>CG83-554.1cropped.jpg</t>
  </si>
  <si>
    <t>CG83-554.2cropped.jpg</t>
  </si>
  <si>
    <t>CG83-590.1cropped.jpg</t>
  </si>
  <si>
    <t>Cropped; in UTM zone 20</t>
  </si>
  <si>
    <t>CG84-053</t>
  </si>
  <si>
    <t>CG84-053cropped.jpg</t>
  </si>
  <si>
    <t>CG84-136.3E.jpg</t>
  </si>
  <si>
    <t>Eagle River, looking north (location approximate)</t>
  </si>
  <si>
    <t>CG84-147.5cropped.jpg</t>
  </si>
  <si>
    <t>CG84-172.01cropped.jpg</t>
  </si>
  <si>
    <t>CG84-172.02cropped.jpg</t>
  </si>
  <si>
    <t>CG84-172.05cropped.jpg</t>
  </si>
  <si>
    <t>Quartz diorite and grey granodiorite gneiss</t>
  </si>
  <si>
    <t>CG84-172.14cropped.jpg</t>
  </si>
  <si>
    <t>CG84-172.20E.jpg</t>
  </si>
  <si>
    <t>Michael gabbro intruding Labradorian gneiss</t>
  </si>
  <si>
    <t>CG84-190</t>
  </si>
  <si>
    <t>CG84-190cropped.jpg</t>
  </si>
  <si>
    <t>Gossanous quartzite, psammite, pelite, diatexite and amphibolite</t>
  </si>
  <si>
    <t>CG84-213</t>
  </si>
  <si>
    <t>CG84-213cropped.jpg</t>
  </si>
  <si>
    <t>Quartz veins; late stage</t>
  </si>
  <si>
    <t>CG84-278</t>
  </si>
  <si>
    <t>CG84-278cropped.jpg</t>
  </si>
  <si>
    <t>CG84-281</t>
  </si>
  <si>
    <t>CG84-281cropped.jpg</t>
  </si>
  <si>
    <t>CG84-291.1cropped.jpg</t>
  </si>
  <si>
    <t>CG84-300.2cropped.jpg</t>
  </si>
  <si>
    <t>CG84-300.3cropped.jpg</t>
  </si>
  <si>
    <t>CG84-300.4cropped.jpg</t>
  </si>
  <si>
    <t>CG84-309</t>
  </si>
  <si>
    <t>CG84-309cropped.jpg</t>
  </si>
  <si>
    <t>Quartz vein in granodiorite</t>
  </si>
  <si>
    <t>CG84-381.2cropped.jpg</t>
  </si>
  <si>
    <t>CG84-381.3cropped.jpg</t>
  </si>
  <si>
    <t>CG84-436.03cropped.jpg</t>
  </si>
  <si>
    <t>Quartz diorite intruded by two phases of mafic dyke</t>
  </si>
  <si>
    <t>CG84-436.06cropped.jpg</t>
  </si>
  <si>
    <t>Younger mafic dyke intruding quartz diorite</t>
  </si>
  <si>
    <t>CG84-436.08cropped.jpg</t>
  </si>
  <si>
    <t>CG84-436.10E.jpg</t>
  </si>
  <si>
    <t>Southern part of Sandwich Bay from the south</t>
  </si>
  <si>
    <t>CG84-442.4cropped.jpg</t>
  </si>
  <si>
    <t>Anorthosite tectonic enclave in mylonite</t>
  </si>
  <si>
    <t>CG84-491</t>
  </si>
  <si>
    <t>CG84-491cropped.jpg</t>
  </si>
  <si>
    <t>Long Range dyke; geochron. sample site</t>
  </si>
  <si>
    <t>CG84-495.5cropped.jpg</t>
  </si>
  <si>
    <t>NN84-170</t>
  </si>
  <si>
    <t>NN84-170E.jpg</t>
  </si>
  <si>
    <t>Eagle River from core of synformal structure</t>
  </si>
  <si>
    <t>NN84-285.1E.jpg</t>
  </si>
  <si>
    <t>VN84-032</t>
  </si>
  <si>
    <t>VN84-032E.jpg</t>
  </si>
  <si>
    <t>Sandwich Bay from the south</t>
  </si>
  <si>
    <t>VN84-431.2cropped.jpg</t>
  </si>
  <si>
    <t>VN93-660.1E.jpg</t>
  </si>
  <si>
    <t>Fine-grained mafic dyke intruding K-feldspar megacrystic granite; paleomag site</t>
  </si>
  <si>
    <t>VN93-660.2E.jpg</t>
  </si>
  <si>
    <t>VN93-662.01E.jpg</t>
  </si>
  <si>
    <t>Three fine-grained discordant mafic dykes intruding K-feldspar megacrystic granite</t>
  </si>
  <si>
    <t>VN93-662.06E.jpg</t>
  </si>
  <si>
    <t>Mafic dykes, looking east</t>
  </si>
  <si>
    <t>CG95-150.2cropped.jpg</t>
  </si>
  <si>
    <t>CG95-221.2cropped.jpg</t>
  </si>
  <si>
    <t>CG95-249.6cropped.jpg</t>
  </si>
  <si>
    <t>Branching monzonite dyke intrusting anorthosite/leuconorite</t>
  </si>
  <si>
    <t>CG95-341.03cropped.jpg</t>
  </si>
  <si>
    <t>CG95-341.08cropped.jpg</t>
  </si>
  <si>
    <t>Younger mafic dyke intruding pegmatite in amphibolite</t>
  </si>
  <si>
    <t>VN95-016.2cropped.jpg</t>
  </si>
  <si>
    <t>Calc-silicate enclaves in coarse pegmatite</t>
  </si>
  <si>
    <t>VN95-060.2cropped.jpg</t>
  </si>
  <si>
    <t>VN95-138</t>
  </si>
  <si>
    <t>VN95-138cropped.jpg</t>
  </si>
  <si>
    <t>Well-banded garnet cordierite(?) metasedimentary gneiss</t>
  </si>
  <si>
    <t>CG95-057</t>
  </si>
  <si>
    <t>CG95-057E.jpg</t>
  </si>
  <si>
    <t>Dioritic rock with leucosome and pegmatite</t>
  </si>
  <si>
    <t>CG95-128</t>
  </si>
  <si>
    <t>CG95-128.1E.jpg</t>
  </si>
  <si>
    <t>Basin topography over satellite pluton; view northeast; joins on to next photo</t>
  </si>
  <si>
    <t>CG95-128.2E.jpg</t>
  </si>
  <si>
    <t>Basin topography over satellite pluton; view northeast</t>
  </si>
  <si>
    <t>CG95-154.2E.jpg</t>
  </si>
  <si>
    <t>Monzonite in Mealy Mountains Intrusive Suite (dark)</t>
  </si>
  <si>
    <t>CG95-161.1E.jpg</t>
  </si>
  <si>
    <t>Gossan in metasedimentary gneiss</t>
  </si>
  <si>
    <t>CG95-161.2E.jpg</t>
  </si>
  <si>
    <t>CG95-206.3E.jpg</t>
  </si>
  <si>
    <t>Regrowth in burnover; looking south from CG95-206</t>
  </si>
  <si>
    <t>CG95-206.4E.jpg</t>
  </si>
  <si>
    <t>Regrowth in burnover; looking south from CG95-207</t>
  </si>
  <si>
    <t>CG95-214</t>
  </si>
  <si>
    <t>CG95-214.1E.jpg</t>
  </si>
  <si>
    <t>Caribou, just below skyline in centre of photograph</t>
  </si>
  <si>
    <t>CG95-214.2E.jpg</t>
  </si>
  <si>
    <t>Caribou on skyline</t>
  </si>
  <si>
    <t>GN95-581.1E.jpg</t>
  </si>
  <si>
    <t>GB at Muskrat Lake camp (on opposite side of lake from data stn.)</t>
  </si>
  <si>
    <t>GN95-581.2E.jpg</t>
  </si>
  <si>
    <t>AC and GB at Muskrat Lake camp (on opposite side of lake from data stn.)</t>
  </si>
  <si>
    <t>GN95-581.3E.jpg</t>
  </si>
  <si>
    <t>RW (helicopter pilot) at Muskrat Lake camp (on opposite side of lake from data stn.)</t>
  </si>
  <si>
    <t>GN95-581.4E.jpg</t>
  </si>
  <si>
    <t>TvN at Muskrat Lake camp (on opposite side of lake from data stn.)</t>
  </si>
  <si>
    <t>CG97-061.2cropped.jpg</t>
  </si>
  <si>
    <t>Well-banded granitoid gneiss, geochronology site</t>
  </si>
  <si>
    <t>CG97-300.2cropped.jpg</t>
  </si>
  <si>
    <t>CG97-057.2E.jpg</t>
  </si>
  <si>
    <t>CG97-091</t>
  </si>
  <si>
    <t>CG97-091E.jpg</t>
  </si>
  <si>
    <t>Rapids on Eagle River</t>
  </si>
  <si>
    <t>CG97-093</t>
  </si>
  <si>
    <t>CG97-093E.jpg</t>
  </si>
  <si>
    <t>Eagle River 4</t>
  </si>
  <si>
    <t>CG97-095</t>
  </si>
  <si>
    <t>CG97-095E.jpg</t>
  </si>
  <si>
    <t>Eagle River 6</t>
  </si>
  <si>
    <t>CG97-112.2E.jpg</t>
  </si>
  <si>
    <t>CG97-157</t>
  </si>
  <si>
    <t>CG97-157E.jpg</t>
  </si>
  <si>
    <t>Upper Eagle River wetlands (location inexact)</t>
  </si>
  <si>
    <t>CG97-166</t>
  </si>
  <si>
    <t>CG97-166E.jpg</t>
  </si>
  <si>
    <t>Upper Eagle River wetlands 3 (6.5 km SE of Cg97-166, looking NW).</t>
  </si>
  <si>
    <t>CG97-187.2E.jpg</t>
  </si>
  <si>
    <t>Upper Eagle River wetlands 5 (location very uncertain)</t>
  </si>
  <si>
    <t>CG98-119.1cropped.jpg</t>
  </si>
  <si>
    <t>CG98-128.1cropped.jpg</t>
  </si>
  <si>
    <t>Folded amphibolite lens/boudin in quartzofeldspathic gneiss</t>
  </si>
  <si>
    <t>CG98-301</t>
  </si>
  <si>
    <t>CG98-301cropped.jpg</t>
  </si>
  <si>
    <t>Metamorphosed melagabbro</t>
  </si>
  <si>
    <t>CG98-003.2E.jpg</t>
  </si>
  <si>
    <t>Hills looking west from data station</t>
  </si>
  <si>
    <t>CG98-113</t>
  </si>
  <si>
    <t>CG98-113E.jpg</t>
  </si>
  <si>
    <t>North end of Fred's Lake, looking north</t>
  </si>
  <si>
    <t>CG98-152</t>
  </si>
  <si>
    <t>CG98-152E.jpg</t>
  </si>
  <si>
    <t>Looking north from Rocky Pond</t>
  </si>
  <si>
    <t>CG98-163.1E.jpg</t>
  </si>
  <si>
    <t>CG98-218.5E.jpg</t>
  </si>
  <si>
    <t>Aligned plagioclase in anorthosite</t>
  </si>
  <si>
    <t>CG98-218.6E.jpg</t>
  </si>
  <si>
    <t>Plagioclase in anorthosite</t>
  </si>
  <si>
    <t>CG98-285</t>
  </si>
  <si>
    <t>CG98-285E.jpg</t>
  </si>
  <si>
    <t>CG98-003.3E.jpg</t>
  </si>
  <si>
    <t>View of hilltop data station</t>
  </si>
  <si>
    <t>CG98-302.3E.jpg</t>
  </si>
  <si>
    <t>CG99-049</t>
  </si>
  <si>
    <t>CG99-049cropped.jpg</t>
  </si>
  <si>
    <t>CG99-077</t>
  </si>
  <si>
    <t>CG99-077cropped.jpg</t>
  </si>
  <si>
    <t>Dextral displacement indicated by felsic veinlets in amphibolite enclaves</t>
  </si>
  <si>
    <t>CG99-195.7cropped.jpg</t>
  </si>
  <si>
    <t>CG99-224</t>
  </si>
  <si>
    <t>CG99-224cropped.jpg</t>
  </si>
  <si>
    <t>Leucoamphibolite with hornblende clusters</t>
  </si>
  <si>
    <t>CG99-254.2cropped.jpg</t>
  </si>
  <si>
    <t>Granodiorite with mafic enclave</t>
  </si>
  <si>
    <t>CG99-268</t>
  </si>
  <si>
    <t>CG99-268cropped.jpg</t>
  </si>
  <si>
    <t>Sillimanite-garnet metasedimentary gneiss</t>
  </si>
  <si>
    <t>CG99-295.2cropped.jpg</t>
  </si>
  <si>
    <t>CG99-331</t>
  </si>
  <si>
    <t>CG99-331cropped.jpg</t>
  </si>
  <si>
    <t>CG99-372.1cropped.jpg</t>
  </si>
  <si>
    <t>CG99-014.01E.jpg</t>
  </si>
  <si>
    <t>Four Corners' Lake 1</t>
  </si>
  <si>
    <t>CG99-014.03E.jpg</t>
  </si>
  <si>
    <t>Four Corners' Lake 3</t>
  </si>
  <si>
    <t>CG99-014.04E.jpg</t>
  </si>
  <si>
    <t>Four Corners' Lake 4</t>
  </si>
  <si>
    <t>CG99-014.05E.jpg</t>
  </si>
  <si>
    <t>Four Corners' Lake 5</t>
  </si>
  <si>
    <t>CG99-014.06E.jpg</t>
  </si>
  <si>
    <t>Four Corners' Lake 6</t>
  </si>
  <si>
    <t>VN84-439.1cropped.jpg</t>
  </si>
  <si>
    <t>CG85-121.2E.jpg</t>
  </si>
  <si>
    <t>White Hills with BL1</t>
  </si>
  <si>
    <t>CG85-180.1cropped.jpg</t>
  </si>
  <si>
    <t>CG85-309.4cropped.jpg</t>
  </si>
  <si>
    <t>Enclave of amphibolite in syn-Grenvillian granite; geochron. sample site</t>
  </si>
  <si>
    <t>CG85-459</t>
  </si>
  <si>
    <t>CG85-459.1cropped.jpg</t>
  </si>
  <si>
    <t>Enclaves of amphibolite in K-feldspar megacrystic granodiorite</t>
  </si>
  <si>
    <t>CG85-459.2E.jpg</t>
  </si>
  <si>
    <t>South of Hawke Harbour; iceberg</t>
  </si>
  <si>
    <t>CG85-465.5E.jpg</t>
  </si>
  <si>
    <t>Hawke Harbour 2</t>
  </si>
  <si>
    <t>CG85-465.6E.jpg</t>
  </si>
  <si>
    <t>Hawke Harbour 3</t>
  </si>
  <si>
    <t>CG85-488.1cropped.jpg</t>
  </si>
  <si>
    <t>CG85-492.1cropped.jpg</t>
  </si>
  <si>
    <t>Diorite injected by two phases of mafic dyke, then pegmatite; geochron. sample site</t>
  </si>
  <si>
    <t>CG85-492.3cropped.jpg</t>
  </si>
  <si>
    <t>Younger black dyke cut by pegmatite</t>
  </si>
  <si>
    <t>CG85-532.1cropped.jpg</t>
  </si>
  <si>
    <t>CG85-541.1E.jpg</t>
  </si>
  <si>
    <t>Iceberg at Wolf Cove</t>
  </si>
  <si>
    <t>CG85-545.1E.jpg</t>
  </si>
  <si>
    <t>Ferret Island 1</t>
  </si>
  <si>
    <t>CG85-545.2E.jpg</t>
  </si>
  <si>
    <t>Ferret Island 2</t>
  </si>
  <si>
    <t>CG85-548.3E.jpg</t>
  </si>
  <si>
    <t>Ferret Island</t>
  </si>
  <si>
    <t>CG85-549</t>
  </si>
  <si>
    <t>CG85-549E.jpg</t>
  </si>
  <si>
    <t>Roundhill Island</t>
  </si>
  <si>
    <t>CG85-558.1E.jpg</t>
  </si>
  <si>
    <t>CG85-618</t>
  </si>
  <si>
    <t>CG85-618E.jpg</t>
  </si>
  <si>
    <t>Intermixed amphibolite and granite</t>
  </si>
  <si>
    <t>CG85-652.2cropped.jpg</t>
  </si>
  <si>
    <t>Quartz veins in granite</t>
  </si>
  <si>
    <t>CG85-654.5cropped.jpg</t>
  </si>
  <si>
    <t>SP85-133.1E.jpg</t>
  </si>
  <si>
    <t>Icebergs in the Spotted Island area 1</t>
  </si>
  <si>
    <t>SP85-133.5E.jpg</t>
  </si>
  <si>
    <t>Former health clinic and 1985 camp site 1</t>
  </si>
  <si>
    <t>SP85-133.8E.jpg</t>
  </si>
  <si>
    <t>Former health clinic and 1985 camp site 2</t>
  </si>
  <si>
    <t>SP85-174</t>
  </si>
  <si>
    <t>SP85-174E.jpg</t>
  </si>
  <si>
    <t>Community of Black Tickle</t>
  </si>
  <si>
    <t>VN85-495.2E.jpg</t>
  </si>
  <si>
    <t>Granitic dyke intruding calc-silicate rock</t>
  </si>
  <si>
    <t>VN85-495.5cropped.jpg</t>
  </si>
  <si>
    <t>Pegmatite intruding calc-silicate rock</t>
  </si>
  <si>
    <t>VN85-552</t>
  </si>
  <si>
    <t>VN85-552E.jpg</t>
  </si>
  <si>
    <t>Coast in vicinity of Hawke Island (looking southwest)</t>
  </si>
  <si>
    <t>VN85-572</t>
  </si>
  <si>
    <t>VN85-572E.jpg</t>
  </si>
  <si>
    <t>Frenchman's Island, Seal Islands</t>
  </si>
  <si>
    <t>VN85-629.2E.jpg</t>
  </si>
  <si>
    <t>CG86-010</t>
  </si>
  <si>
    <t>CG86-010E.jpg</t>
  </si>
  <si>
    <t>Port Hope Simpson 1</t>
  </si>
  <si>
    <t>CG86-018.11cropped.jpg</t>
  </si>
  <si>
    <t>Strongly deformed / mylonitic Alexis River anorthosite</t>
  </si>
  <si>
    <t>CG86-019.2cropped.jpg</t>
  </si>
  <si>
    <t>Coarse-grained leuconorite in Alexis River anorthosite; deformed</t>
  </si>
  <si>
    <t>CG86-037</t>
  </si>
  <si>
    <t>CG86-037cropped.jpg</t>
  </si>
  <si>
    <t>CG86-088.02E.jpg</t>
  </si>
  <si>
    <t>Forest fire east of Port Hope Simpson 1</t>
  </si>
  <si>
    <t>CG86-088.04E.jpg</t>
  </si>
  <si>
    <t>House rented in 1986 from Reg. Russell 1</t>
  </si>
  <si>
    <t>CG86-088.05E.jpg</t>
  </si>
  <si>
    <t>House rented in 1986 from Reg. Russell 2</t>
  </si>
  <si>
    <t>CG86-088.06E.jpg</t>
  </si>
  <si>
    <t>Community of Port Hope Simpson 1</t>
  </si>
  <si>
    <t>CG86-088.08E.jpg</t>
  </si>
  <si>
    <t>Community of Port Hope Simpson 2</t>
  </si>
  <si>
    <t>CG86-088.13E.jpg</t>
  </si>
  <si>
    <t>Morning mist on Alexis River 1</t>
  </si>
  <si>
    <t>CG86-097.3E.jpg</t>
  </si>
  <si>
    <t>Gabbronorite underlain by syenogranite</t>
  </si>
  <si>
    <t>CG86-115.3E.jpg</t>
  </si>
  <si>
    <t>Burnover 3</t>
  </si>
  <si>
    <t>CG86-268.2cropped.jpg</t>
  </si>
  <si>
    <t>CG86-327.3cropped.jpg</t>
  </si>
  <si>
    <t>CG86-329.2cropped.jpg</t>
  </si>
  <si>
    <t>CG86-383</t>
  </si>
  <si>
    <t>CG86-383cropped.jpg</t>
  </si>
  <si>
    <t>Z-folds in metasedimentary gneiss</t>
  </si>
  <si>
    <t>CG86-393</t>
  </si>
  <si>
    <t>CG86-393cropped.jpg</t>
  </si>
  <si>
    <t>K-feldspar megacrystic granodiorite with K-feldspar megacryst in mafic enclave</t>
  </si>
  <si>
    <t>CG86-490.1E.jpg</t>
  </si>
  <si>
    <t>CG86-490.4cropped.jpg</t>
  </si>
  <si>
    <t>CG86-490.6E.jpg</t>
  </si>
  <si>
    <t>CG86-490.9E.jpg</t>
  </si>
  <si>
    <t>Gilbert River looking along fault</t>
  </si>
  <si>
    <t>CG86-503.2cropped.jpg</t>
  </si>
  <si>
    <t>CG86-504.2cropped.jpg</t>
  </si>
  <si>
    <t>CG86-506</t>
  </si>
  <si>
    <t>CG86-506cropped.jpg</t>
  </si>
  <si>
    <t>CG86-507</t>
  </si>
  <si>
    <t>CG86-507cropped.jpg</t>
  </si>
  <si>
    <t>Pyritic (gossan) zone in metasedimentary gneiss</t>
  </si>
  <si>
    <t>CG86-528.02E.jpg</t>
  </si>
  <si>
    <t>Metamorphosed mafic volcanic rocks</t>
  </si>
  <si>
    <t>CG86-528.03E.jpg</t>
  </si>
  <si>
    <t>Calc-silicate and siliceous layer in mafic volcanic rocks</t>
  </si>
  <si>
    <t>CG86-528.06cropped.jpg</t>
  </si>
  <si>
    <t>CG86-528.07cropped.jpg</t>
  </si>
  <si>
    <t>Pillow lavas and mafic dyke</t>
  </si>
  <si>
    <t>CG86-528.10cropped.jpg</t>
  </si>
  <si>
    <t>CG86-528.11E.jpg</t>
  </si>
  <si>
    <t>Looking north from Bull Island 1</t>
  </si>
  <si>
    <t>CG86-528.12E.jpg</t>
  </si>
  <si>
    <t>Looking north from Bull Island 2</t>
  </si>
  <si>
    <t>CG86-528.13E.jpg</t>
  </si>
  <si>
    <t>Looking north from Bull Island 3</t>
  </si>
  <si>
    <t>CG86-528.14E.jpg</t>
  </si>
  <si>
    <t>CG86-529.2E.jpg</t>
  </si>
  <si>
    <t>Banded amphibolitic gneiss: MH</t>
  </si>
  <si>
    <t>CG86-546</t>
  </si>
  <si>
    <t>CG86-546E.jpg</t>
  </si>
  <si>
    <t>Fog in the Dead Islands area</t>
  </si>
  <si>
    <t>CG86-754.1E.jpg</t>
  </si>
  <si>
    <t>CG86-754.4E.jpg</t>
  </si>
  <si>
    <t>JS86-002</t>
  </si>
  <si>
    <t>JS86-002cropped.jpg</t>
  </si>
  <si>
    <t>Stretched mafic aggregates in Alexis River anorthosite</t>
  </si>
  <si>
    <t>JS86-339.1cropped.jpg</t>
  </si>
  <si>
    <t>JS86-370</t>
  </si>
  <si>
    <t>JS86-370cropped.jpg</t>
  </si>
  <si>
    <t>JS86-381</t>
  </si>
  <si>
    <t>JS86-381cropped.jpg</t>
  </si>
  <si>
    <t>JS86-403</t>
  </si>
  <si>
    <t>JS86-403cropped.jpg</t>
  </si>
  <si>
    <t>Quartzite ( showing primary bedding) and pelitic gneiss</t>
  </si>
  <si>
    <t>JS86-460.4E.jpg</t>
  </si>
  <si>
    <t>TvN south of Occasional Harbour (location inexact)</t>
  </si>
  <si>
    <t>MN86-006</t>
  </si>
  <si>
    <t>MN86-006cropped.jpg</t>
  </si>
  <si>
    <t>C-S fabric indicating dextral rotation</t>
  </si>
  <si>
    <t>MN86-051.1E.jpg</t>
  </si>
  <si>
    <t>Burnover west of Port Hope Simpson</t>
  </si>
  <si>
    <t>MN86-051.5E.jpg</t>
  </si>
  <si>
    <t>Burnover (location approximate)</t>
  </si>
  <si>
    <t>MN86-098</t>
  </si>
  <si>
    <t>MN86-098cropped.jpg</t>
  </si>
  <si>
    <t>CG87-425.1E.jpg</t>
  </si>
  <si>
    <t>Fog in St. Peter's Bay 1</t>
  </si>
  <si>
    <t>CG87-425.4E.jpg</t>
  </si>
  <si>
    <t>Fog in St. Peter's Bay 4</t>
  </si>
  <si>
    <t>CG87-426.3cropped.jpg</t>
  </si>
  <si>
    <t>Late- to post-Grenvillian microgranite with enclave intruding foliated granite</t>
  </si>
  <si>
    <t>CG93-036</t>
  </si>
  <si>
    <t>CG93-036E.jpg</t>
  </si>
  <si>
    <t>Iceberg and granitoid rocks in foreground</t>
  </si>
  <si>
    <t>CG93-101</t>
  </si>
  <si>
    <t>CG93-101E.jpg</t>
  </si>
  <si>
    <t>Pinware River looking south from CG93-101</t>
  </si>
  <si>
    <t>CG93-128</t>
  </si>
  <si>
    <t>CG93-128E.jpg</t>
  </si>
  <si>
    <t>CG93-165</t>
  </si>
  <si>
    <t>CG93-165E.jpg</t>
  </si>
  <si>
    <t>Well-banded gneisses</t>
  </si>
  <si>
    <t>CG93-175.2E.jpg</t>
  </si>
  <si>
    <t>Waterfall on Skipper Neds Brook</t>
  </si>
  <si>
    <t>CG93-206.4E.jpg</t>
  </si>
  <si>
    <t>CG93-208.1E.jpg</t>
  </si>
  <si>
    <t>Gossanous sillimanite-bearing pelite, quartzite, amphibolite and quartzofeldspathic rocks</t>
  </si>
  <si>
    <t>CG93-238.2E.jpg</t>
  </si>
  <si>
    <t>Balanced boulders</t>
  </si>
  <si>
    <t>CG93-268.1E.jpg</t>
  </si>
  <si>
    <t>Cambrian-Precambrian unconformity</t>
  </si>
  <si>
    <t>CG93-272</t>
  </si>
  <si>
    <t>CG93-272.1E.jpg</t>
  </si>
  <si>
    <t>Boats out of water in L'Anse-au-Diable</t>
  </si>
  <si>
    <t>CG93-272.2E.jpg</t>
  </si>
  <si>
    <t>CG93-303</t>
  </si>
  <si>
    <t>CG93-303E.jpg</t>
  </si>
  <si>
    <t>Deformed net-veined mafic dyke in granite</t>
  </si>
  <si>
    <t>CG93-324.2E.jpg</t>
  </si>
  <si>
    <t>Pinware River valley looking south from CG93-324</t>
  </si>
  <si>
    <t>CG93-328.2E.jpg</t>
  </si>
  <si>
    <t>Boulder-strewn hillside</t>
  </si>
  <si>
    <t>CG93-388</t>
  </si>
  <si>
    <t>CG93-388E.jpg</t>
  </si>
  <si>
    <t>Hills north of Lost River, Stag Pond area</t>
  </si>
  <si>
    <t>CG93-407.4E.jpg</t>
  </si>
  <si>
    <t>Well-banded rocks of probable supracrustal origin, containing garnet-epidote layers</t>
  </si>
  <si>
    <t>CG93-412</t>
  </si>
  <si>
    <t>CG93-412E.jpg</t>
  </si>
  <si>
    <t>Rusty-weathering (gossanous) fine-grained muscovite-rich metasedimentary gneiss</t>
  </si>
  <si>
    <t>CG93-414</t>
  </si>
  <si>
    <t>CG93-414E.jpg</t>
  </si>
  <si>
    <t>Block jointing in granite</t>
  </si>
  <si>
    <t>CG93-421</t>
  </si>
  <si>
    <t>CG93-421E.jpg</t>
  </si>
  <si>
    <t>Small, fault-controlled gorge</t>
  </si>
  <si>
    <t>CG93-454.1E.jpg</t>
  </si>
  <si>
    <t>Interlayered amphibolite and quartzofeldspathic rocks</t>
  </si>
  <si>
    <t>CG93-455.2E.jpg</t>
  </si>
  <si>
    <t>Cleaved/mylonitized rocks of supracrustal/mylonitic origin</t>
  </si>
  <si>
    <t>CG93-455.3E.jpg</t>
  </si>
  <si>
    <t>CG93-455.6E.jpg</t>
  </si>
  <si>
    <t>Folded lineation in rocks of probable supracrustal origin</t>
  </si>
  <si>
    <t>CG93-459.4E.jpg</t>
  </si>
  <si>
    <t>Sea stack - 'The Headless Warrior'</t>
  </si>
  <si>
    <t>CG93-461</t>
  </si>
  <si>
    <t>CG93-461E.jpg</t>
  </si>
  <si>
    <t>Deformed mafic dyke intruding granite</t>
  </si>
  <si>
    <t>CG93-479.3E.jpg</t>
  </si>
  <si>
    <t>CG93-480</t>
  </si>
  <si>
    <t>CG93-480E.jpg</t>
  </si>
  <si>
    <t>Looking west to horizontally jointed rock face of CG93-479</t>
  </si>
  <si>
    <t>CG93-551</t>
  </si>
  <si>
    <t>CG93-551E.jpg</t>
  </si>
  <si>
    <t>View of Long Pond from CG93-551</t>
  </si>
  <si>
    <t>CG93-715</t>
  </si>
  <si>
    <t>CG93-715E.jpg</t>
  </si>
  <si>
    <t>Quartzofeldspathic rock of possible pyroclastic origin</t>
  </si>
  <si>
    <t>CG93-722.1E.jpg</t>
  </si>
  <si>
    <t>View looking northeast from CG93-722</t>
  </si>
  <si>
    <t>CG93-737</t>
  </si>
  <si>
    <t>CG93-737.1E.jpg</t>
  </si>
  <si>
    <t>Cemetery at Chateau Bay</t>
  </si>
  <si>
    <t>CG93-737.2E.jpg</t>
  </si>
  <si>
    <t>Bakeapples (cloudberries) at Chateau Bay</t>
  </si>
  <si>
    <t>CG93-737.3E.jpg</t>
  </si>
  <si>
    <t>Remnants of community of Chateau Bay</t>
  </si>
  <si>
    <t>CG93-770</t>
  </si>
  <si>
    <t>CG93-770E.jpg</t>
  </si>
  <si>
    <t>Lighthouse Cove Formation at Chateau Point</t>
  </si>
  <si>
    <t>DL93-088</t>
  </si>
  <si>
    <t>DL93-088E.jpg</t>
  </si>
  <si>
    <t>DL93-316</t>
  </si>
  <si>
    <t>DL93-316E.jpg</t>
  </si>
  <si>
    <t>River flowing into Barge Bay, looking NW. DL93-316 is right of photo centre.</t>
  </si>
  <si>
    <t>GK93-003</t>
  </si>
  <si>
    <t>GK93-003E.jpg</t>
  </si>
  <si>
    <t>Groundhog on rock</t>
  </si>
  <si>
    <t>VN93-033.04E.jpg</t>
  </si>
  <si>
    <t>Community of Red Bay; Saddle Island in background</t>
  </si>
  <si>
    <t>VN93-033.05E.jpg</t>
  </si>
  <si>
    <t>Aerial view of Red Bay 1</t>
  </si>
  <si>
    <t>VN93-033.06E.jpg</t>
  </si>
  <si>
    <t>Aerial view of Red Bay 2</t>
  </si>
  <si>
    <t>VN93-033.10E.jpg</t>
  </si>
  <si>
    <t>Community of Red Bay</t>
  </si>
  <si>
    <t>VN93-033.11E.jpg</t>
  </si>
  <si>
    <t>Icebergs in Red Bay Harbour 1</t>
  </si>
  <si>
    <t>VN93-033.12E.jpg</t>
  </si>
  <si>
    <t>Icebergs in Red Bay Harbour 2</t>
  </si>
  <si>
    <t>VN93-033.13E.jpg</t>
  </si>
  <si>
    <t>House rented in Red Bay from Clyde and Clarissa Fowler</t>
  </si>
  <si>
    <t>VN93-033.14E.jpg</t>
  </si>
  <si>
    <t>Yacht in Red Bay Harbour</t>
  </si>
  <si>
    <t>VN93-098</t>
  </si>
  <si>
    <t>VN93-098E.jpg</t>
  </si>
  <si>
    <t>Amphibolite dyke intruding monzonite; PM</t>
  </si>
  <si>
    <t>VN93-342.2E.jpg</t>
  </si>
  <si>
    <t>Amphibolite layer (dyke?) in foliated granite</t>
  </si>
  <si>
    <t>VN93-659</t>
  </si>
  <si>
    <t>VN93-659E.jpg</t>
  </si>
  <si>
    <t>Fine-grained mafic dyke intruding K-feldspar megacrystic granite</t>
  </si>
  <si>
    <t>CG04-286.01E.jpg</t>
  </si>
  <si>
    <t>Paradise River barge drifting downstream (1984)</t>
  </si>
  <si>
    <t>CG04-286.02E.jpg</t>
  </si>
  <si>
    <t>CG04-286.03E.jpg</t>
  </si>
  <si>
    <t>Paradise River tug to rescue (1984)</t>
  </si>
  <si>
    <t>CG04-286.04E.jpg</t>
  </si>
  <si>
    <t>Paradise River tug attached to barge (1984)</t>
  </si>
  <si>
    <t>CG04-286.07E.jpg</t>
  </si>
  <si>
    <t>Paradise River with Sandwich Bay in background (1984)</t>
  </si>
  <si>
    <t>CG04-286.12E.jpg</t>
  </si>
  <si>
    <t>Paradise River settlement from the north (1984)</t>
  </si>
  <si>
    <t>CG07-031.2cropped.jpg</t>
  </si>
  <si>
    <t>CG07-104.2cropped.jpg</t>
  </si>
  <si>
    <t>CG07-140.1cropped.jpg</t>
  </si>
  <si>
    <t>CG07-159.2cropped.jpg</t>
  </si>
  <si>
    <t>Phanerozoic diabase intruding psammite and pegmatite</t>
  </si>
  <si>
    <t>CG07-123.7cropped.jpg</t>
  </si>
  <si>
    <t>ScannedPhotos/1979/CG79-195cropped.jpg")</t>
  </si>
  <si>
    <t>ScannedPhotos/1979/AD79-091.2E.jpg")</t>
  </si>
  <si>
    <t>ScannedPhotos/1980/CG80-102.17E.jpg")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</si>
</sst>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1" applyFont="1"/>
    <xf numFmtId="0" fontId="3" fillId="0" borderId="0" xfId="0" applyFont="1"/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65"/>
  <sheetViews>
    <sheetView tabSelected="1" workbookViewId="0"/>
  </sheetViews>
  <sheetFormatPr defaultRowHeight="15" x14ac:dyDescent="0.25"/>
  <cols>
    <col min="1" max="1" width="10.7109375" bestFit="1" customWidth="1"/>
    <col min="2" max="2" width="8.85546875" bestFit="1" customWidth="1"/>
    <col min="3" max="3" width="10.42578125" bestFit="1" customWidth="1"/>
    <col min="4" max="4" width="9.7109375" bestFit="1" customWidth="1"/>
    <col min="5" max="5" width="7" bestFit="1" customWidth="1"/>
    <col min="6" max="6" width="23" bestFit="1" customWidth="1"/>
    <col min="7" max="7" width="10.7109375" bestFit="1" customWidth="1"/>
    <col min="8" max="8" width="7" bestFit="1" customWidth="1"/>
    <col min="10" max="10" width="31.42578125" bestFit="1" customWidth="1"/>
    <col min="11" max="11" width="15.28515625" bestFit="1" customWidth="1"/>
    <col min="12" max="12" width="81.28515625" customWidth="1"/>
    <col min="13" max="13" width="53.28515625" style="3" customWidth="1"/>
    <col min="14" max="14" width="26.7109375" customWidth="1"/>
  </cols>
  <sheetData>
    <row r="1" spans="1:1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5">
      <c r="A2" t="s">
        <v>14</v>
      </c>
      <c r="B2">
        <v>551495</v>
      </c>
      <c r="C2">
        <v>5821595</v>
      </c>
      <c r="D2">
        <v>21</v>
      </c>
      <c r="E2" t="s">
        <v>15</v>
      </c>
      <c r="F2" t="s">
        <v>16</v>
      </c>
      <c r="G2">
        <v>16</v>
      </c>
      <c r="H2" t="s">
        <v>17</v>
      </c>
      <c r="I2" t="s">
        <v>18</v>
      </c>
      <c r="J2" t="s">
        <v>19</v>
      </c>
      <c r="K2" t="s">
        <v>20</v>
      </c>
      <c r="L2" t="s">
        <v>21</v>
      </c>
      <c r="M2" s="2" t="str">
        <f>HYPERLINK("..\..\Imagery\ScannedPhotos\1986\CG86-018.12.jpg")</f>
        <v>..\..\Imagery\ScannedPhotos\1986\CG86-018.12.jpg</v>
      </c>
    </row>
    <row r="3" spans="1:14" x14ac:dyDescent="0.25">
      <c r="A3" t="s">
        <v>22</v>
      </c>
      <c r="B3">
        <v>552268</v>
      </c>
      <c r="C3">
        <v>5821654</v>
      </c>
      <c r="D3">
        <v>21</v>
      </c>
      <c r="E3" t="s">
        <v>15</v>
      </c>
      <c r="F3" t="s">
        <v>23</v>
      </c>
      <c r="G3">
        <v>2</v>
      </c>
      <c r="H3" t="s">
        <v>24</v>
      </c>
      <c r="I3" t="s">
        <v>25</v>
      </c>
      <c r="J3" t="s">
        <v>26</v>
      </c>
      <c r="K3" t="s">
        <v>20</v>
      </c>
      <c r="L3" t="s">
        <v>27</v>
      </c>
      <c r="M3" s="3" t="str">
        <f>HYPERLINK("..\..\Imagery\ScannedPhotos\1986\CG86-019.1.jpg")</f>
        <v>..\..\Imagery\ScannedPhotos\1986\CG86-019.1.jpg</v>
      </c>
    </row>
    <row r="4" spans="1:14" x14ac:dyDescent="0.25">
      <c r="A4" t="s">
        <v>28</v>
      </c>
      <c r="B4">
        <v>557675</v>
      </c>
      <c r="C4">
        <v>5817899</v>
      </c>
      <c r="D4">
        <v>21</v>
      </c>
      <c r="E4" t="s">
        <v>15</v>
      </c>
      <c r="F4" t="s">
        <v>29</v>
      </c>
      <c r="G4">
        <v>1</v>
      </c>
      <c r="H4" t="s">
        <v>24</v>
      </c>
      <c r="I4" t="s">
        <v>30</v>
      </c>
      <c r="J4" t="s">
        <v>26</v>
      </c>
      <c r="K4" t="s">
        <v>20</v>
      </c>
      <c r="L4" t="s">
        <v>31</v>
      </c>
      <c r="M4" s="3" t="str">
        <f>HYPERLINK("..\..\Imagery\ScannedPhotos\1986\CG86-032.jpg")</f>
        <v>..\..\Imagery\ScannedPhotos\1986\CG86-032.jpg</v>
      </c>
    </row>
    <row r="5" spans="1:14" x14ac:dyDescent="0.25">
      <c r="A5" t="s">
        <v>32</v>
      </c>
      <c r="B5">
        <v>596446</v>
      </c>
      <c r="C5">
        <v>5792950</v>
      </c>
      <c r="D5">
        <v>21</v>
      </c>
      <c r="E5" t="s">
        <v>15</v>
      </c>
      <c r="F5" t="s">
        <v>33</v>
      </c>
      <c r="G5">
        <v>40</v>
      </c>
      <c r="H5" t="s">
        <v>34</v>
      </c>
      <c r="I5" t="s">
        <v>35</v>
      </c>
      <c r="J5" t="s">
        <v>36</v>
      </c>
      <c r="K5" t="s">
        <v>20</v>
      </c>
      <c r="L5" t="s">
        <v>37</v>
      </c>
      <c r="M5" s="3" t="str">
        <f>HYPERLINK("..\..\Imagery\ScannedPhotos\1987\CG87-488.17.jpg")</f>
        <v>..\..\Imagery\ScannedPhotos\1987\CG87-488.17.jpg</v>
      </c>
    </row>
    <row r="6" spans="1:14" x14ac:dyDescent="0.25">
      <c r="A6" t="s">
        <v>38</v>
      </c>
      <c r="B6">
        <v>491125</v>
      </c>
      <c r="C6">
        <v>5842150</v>
      </c>
      <c r="D6">
        <v>21</v>
      </c>
      <c r="E6" t="s">
        <v>15</v>
      </c>
      <c r="F6" t="s">
        <v>39</v>
      </c>
      <c r="G6">
        <v>2</v>
      </c>
      <c r="H6" t="s">
        <v>40</v>
      </c>
      <c r="I6" t="s">
        <v>41</v>
      </c>
      <c r="J6" t="s">
        <v>42</v>
      </c>
      <c r="K6" t="s">
        <v>20</v>
      </c>
      <c r="L6" t="s">
        <v>43</v>
      </c>
      <c r="M6" s="3" t="str">
        <f>HYPERLINK("..\..\Imagery\ScannedPhotos\1991\DD91-047.2.jpg")</f>
        <v>..\..\Imagery\ScannedPhotos\1991\DD91-047.2.jpg</v>
      </c>
    </row>
    <row r="7" spans="1:14" x14ac:dyDescent="0.25">
      <c r="A7" t="s">
        <v>44</v>
      </c>
      <c r="B7">
        <v>399313</v>
      </c>
      <c r="C7">
        <v>5938454</v>
      </c>
      <c r="D7">
        <v>21</v>
      </c>
      <c r="E7" t="s">
        <v>15</v>
      </c>
      <c r="F7" t="s">
        <v>45</v>
      </c>
      <c r="G7">
        <v>1</v>
      </c>
      <c r="H7" t="s">
        <v>46</v>
      </c>
      <c r="I7" t="s">
        <v>47</v>
      </c>
      <c r="J7" t="s">
        <v>48</v>
      </c>
      <c r="K7" t="s">
        <v>20</v>
      </c>
      <c r="L7" t="s">
        <v>49</v>
      </c>
      <c r="M7" s="3" t="str">
        <f>HYPERLINK("..\..\Imagery\ScannedPhotos\1981\GF81-168.jpg")</f>
        <v>..\..\Imagery\ScannedPhotos\1981\GF81-168.jpg</v>
      </c>
    </row>
    <row r="8" spans="1:14" x14ac:dyDescent="0.25">
      <c r="A8" t="s">
        <v>50</v>
      </c>
      <c r="B8">
        <v>444568</v>
      </c>
      <c r="C8">
        <v>5930028</v>
      </c>
      <c r="D8">
        <v>21</v>
      </c>
      <c r="E8" t="s">
        <v>15</v>
      </c>
      <c r="F8" t="s">
        <v>51</v>
      </c>
      <c r="G8">
        <v>1</v>
      </c>
      <c r="H8" t="s">
        <v>46</v>
      </c>
      <c r="I8" t="s">
        <v>52</v>
      </c>
      <c r="J8" t="s">
        <v>48</v>
      </c>
      <c r="K8" t="s">
        <v>20</v>
      </c>
      <c r="L8" t="s">
        <v>53</v>
      </c>
      <c r="M8" s="3" t="str">
        <f>HYPERLINK("..\..\Imagery\ScannedPhotos\1981\GF81-177.jpg")</f>
        <v>..\..\Imagery\ScannedPhotos\1981\GF81-177.jpg</v>
      </c>
    </row>
    <row r="9" spans="1:14" x14ac:dyDescent="0.25">
      <c r="A9" t="s">
        <v>54</v>
      </c>
      <c r="B9">
        <v>596574</v>
      </c>
      <c r="C9">
        <v>5792830</v>
      </c>
      <c r="D9">
        <v>21</v>
      </c>
      <c r="E9" t="s">
        <v>15</v>
      </c>
      <c r="F9" t="s">
        <v>55</v>
      </c>
      <c r="G9">
        <v>2</v>
      </c>
      <c r="K9" t="s">
        <v>56</v>
      </c>
      <c r="L9" t="s">
        <v>57</v>
      </c>
      <c r="M9" s="3" t="str">
        <f>HYPERLINK("..\..\Imagery\ScannedPhotos\2007\CG07-188.1.jpg")</f>
        <v>..\..\Imagery\ScannedPhotos\2007\CG07-188.1.jpg</v>
      </c>
    </row>
    <row r="10" spans="1:14" x14ac:dyDescent="0.25">
      <c r="A10" t="s">
        <v>58</v>
      </c>
      <c r="B10">
        <v>463182</v>
      </c>
      <c r="C10">
        <v>5878558</v>
      </c>
      <c r="D10">
        <v>21</v>
      </c>
      <c r="E10" t="s">
        <v>15</v>
      </c>
      <c r="F10" t="s">
        <v>59</v>
      </c>
      <c r="G10">
        <v>2</v>
      </c>
      <c r="H10" t="s">
        <v>60</v>
      </c>
      <c r="I10" t="s">
        <v>52</v>
      </c>
      <c r="J10" t="s">
        <v>61</v>
      </c>
      <c r="K10" t="s">
        <v>56</v>
      </c>
      <c r="L10" t="s">
        <v>62</v>
      </c>
      <c r="M10" s="3" t="str">
        <f>HYPERLINK("..\..\Imagery\ScannedPhotos\1984\CG84-291.2.jpg")</f>
        <v>..\..\Imagery\ScannedPhotos\1984\CG84-291.2.jpg</v>
      </c>
    </row>
    <row r="11" spans="1:14" x14ac:dyDescent="0.25">
      <c r="A11" t="s">
        <v>63</v>
      </c>
      <c r="B11">
        <v>463326</v>
      </c>
      <c r="C11">
        <v>5878546</v>
      </c>
      <c r="D11">
        <v>21</v>
      </c>
      <c r="E11" t="s">
        <v>15</v>
      </c>
      <c r="F11" t="s">
        <v>64</v>
      </c>
      <c r="G11">
        <v>1</v>
      </c>
      <c r="H11" t="s">
        <v>60</v>
      </c>
      <c r="I11" t="s">
        <v>65</v>
      </c>
      <c r="J11" t="s">
        <v>61</v>
      </c>
      <c r="K11" t="s">
        <v>20</v>
      </c>
      <c r="L11" t="s">
        <v>62</v>
      </c>
      <c r="M11" s="4" t="str">
        <f>HYPERLINK("..\..\Imagery\ScannedPhotos\1984\CG84-292.jpg")</f>
        <v>..\..\Imagery\ScannedPhotos\1984\CG84-292.jpg</v>
      </c>
    </row>
    <row r="12" spans="1:14" x14ac:dyDescent="0.25">
      <c r="A12" t="s">
        <v>66</v>
      </c>
      <c r="B12">
        <v>567519</v>
      </c>
      <c r="C12">
        <v>5819028</v>
      </c>
      <c r="D12">
        <v>21</v>
      </c>
      <c r="E12" t="s">
        <v>15</v>
      </c>
      <c r="F12" t="s">
        <v>67</v>
      </c>
      <c r="G12">
        <v>1</v>
      </c>
      <c r="H12" t="s">
        <v>68</v>
      </c>
      <c r="I12" t="s">
        <v>69</v>
      </c>
      <c r="J12" t="s">
        <v>70</v>
      </c>
      <c r="K12" t="s">
        <v>20</v>
      </c>
      <c r="L12" t="s">
        <v>71</v>
      </c>
      <c r="M12" s="3" t="str">
        <f>HYPERLINK("..\..\Imagery\ScannedPhotos\1986\SN86-146.jpg")</f>
        <v>..\..\Imagery\ScannedPhotos\1986\SN86-146.jpg</v>
      </c>
    </row>
    <row r="13" spans="1:14" x14ac:dyDescent="0.25">
      <c r="A13" t="s">
        <v>72</v>
      </c>
      <c r="B13">
        <v>567912</v>
      </c>
      <c r="C13">
        <v>5818109</v>
      </c>
      <c r="D13">
        <v>21</v>
      </c>
      <c r="E13" t="s">
        <v>15</v>
      </c>
      <c r="F13" t="s">
        <v>73</v>
      </c>
      <c r="G13">
        <v>1</v>
      </c>
      <c r="H13" t="s">
        <v>68</v>
      </c>
      <c r="I13" t="s">
        <v>74</v>
      </c>
      <c r="J13" t="s">
        <v>70</v>
      </c>
      <c r="K13" t="s">
        <v>20</v>
      </c>
      <c r="L13" t="s">
        <v>75</v>
      </c>
      <c r="M13" s="3" t="str">
        <f>HYPERLINK("..\..\Imagery\ScannedPhotos\1986\SN86-151.jpg")</f>
        <v>..\..\Imagery\ScannedPhotos\1986\SN86-151.jpg</v>
      </c>
    </row>
    <row r="14" spans="1:14" x14ac:dyDescent="0.25">
      <c r="A14" t="s">
        <v>76</v>
      </c>
      <c r="B14">
        <v>319280</v>
      </c>
      <c r="C14">
        <v>5801719</v>
      </c>
      <c r="D14">
        <v>21</v>
      </c>
      <c r="E14" t="s">
        <v>15</v>
      </c>
      <c r="F14" t="s">
        <v>77</v>
      </c>
      <c r="G14">
        <v>1</v>
      </c>
      <c r="H14" t="s">
        <v>78</v>
      </c>
      <c r="I14" t="s">
        <v>79</v>
      </c>
      <c r="J14" t="s">
        <v>80</v>
      </c>
      <c r="K14" t="s">
        <v>56</v>
      </c>
      <c r="L14" t="s">
        <v>81</v>
      </c>
      <c r="M14" s="3" t="str">
        <f>HYPERLINK("..\..\Imagery\ScannedPhotos\2000\CG00-144.jpg")</f>
        <v>..\..\Imagery\ScannedPhotos\2000\CG00-144.jpg</v>
      </c>
    </row>
    <row r="15" spans="1:14" x14ac:dyDescent="0.25">
      <c r="A15" t="s">
        <v>82</v>
      </c>
      <c r="B15">
        <v>313335</v>
      </c>
      <c r="C15">
        <v>6006784</v>
      </c>
      <c r="D15">
        <v>21</v>
      </c>
      <c r="E15" t="s">
        <v>15</v>
      </c>
      <c r="F15" t="s">
        <v>83</v>
      </c>
      <c r="G15">
        <v>3</v>
      </c>
      <c r="H15" t="s">
        <v>84</v>
      </c>
      <c r="I15" t="s">
        <v>85</v>
      </c>
      <c r="J15" t="s">
        <v>86</v>
      </c>
      <c r="K15" t="s">
        <v>20</v>
      </c>
      <c r="L15" t="s">
        <v>87</v>
      </c>
      <c r="M15" s="3" t="str">
        <f>HYPERLINK("..\..\Imagery\ScannedPhotos\1983\CG83-305.2.jpg")</f>
        <v>..\..\Imagery\ScannedPhotos\1983\CG83-305.2.jpg</v>
      </c>
    </row>
    <row r="16" spans="1:14" x14ac:dyDescent="0.25">
      <c r="A16" t="s">
        <v>88</v>
      </c>
      <c r="B16">
        <v>547990</v>
      </c>
      <c r="C16">
        <v>5841646</v>
      </c>
      <c r="D16">
        <v>21</v>
      </c>
      <c r="E16" t="s">
        <v>15</v>
      </c>
      <c r="F16" t="s">
        <v>89</v>
      </c>
      <c r="G16">
        <v>2</v>
      </c>
      <c r="K16" t="s">
        <v>20</v>
      </c>
      <c r="L16" t="s">
        <v>90</v>
      </c>
      <c r="M16" s="3" t="str">
        <f>HYPERLINK("..\..\Imagery\ScannedPhotos\2004\CG04-027.2.jpg")</f>
        <v>..\..\Imagery\ScannedPhotos\2004\CG04-027.2.jpg</v>
      </c>
    </row>
    <row r="17" spans="1:13" x14ac:dyDescent="0.25">
      <c r="A17" t="s">
        <v>91</v>
      </c>
      <c r="B17">
        <v>440013</v>
      </c>
      <c r="C17">
        <v>6007723</v>
      </c>
      <c r="D17">
        <v>21</v>
      </c>
      <c r="E17" t="s">
        <v>15</v>
      </c>
      <c r="F17" t="s">
        <v>92</v>
      </c>
      <c r="G17">
        <v>2</v>
      </c>
      <c r="H17" t="s">
        <v>93</v>
      </c>
      <c r="I17" t="s">
        <v>94</v>
      </c>
      <c r="J17" t="s">
        <v>95</v>
      </c>
      <c r="K17" t="s">
        <v>20</v>
      </c>
      <c r="L17" t="s">
        <v>96</v>
      </c>
      <c r="M17" s="3" t="str">
        <f>HYPERLINK("..\..\Imagery\ScannedPhotos\1980\CG80-238.1.jpg")</f>
        <v>..\..\Imagery\ScannedPhotos\1980\CG80-238.1.jpg</v>
      </c>
    </row>
    <row r="18" spans="1:13" x14ac:dyDescent="0.25">
      <c r="A18" t="s">
        <v>97</v>
      </c>
      <c r="B18">
        <v>565476</v>
      </c>
      <c r="C18">
        <v>5842238</v>
      </c>
      <c r="D18">
        <v>21</v>
      </c>
      <c r="E18" t="s">
        <v>15</v>
      </c>
      <c r="F18" t="s">
        <v>98</v>
      </c>
      <c r="G18">
        <v>1</v>
      </c>
      <c r="H18" t="s">
        <v>99</v>
      </c>
      <c r="I18" t="s">
        <v>85</v>
      </c>
      <c r="J18" t="s">
        <v>100</v>
      </c>
      <c r="K18" t="s">
        <v>20</v>
      </c>
      <c r="L18" t="s">
        <v>101</v>
      </c>
      <c r="M18" s="3" t="str">
        <f>HYPERLINK("..\..\Imagery\ScannedPhotos\1986\MN86-362.jpg")</f>
        <v>..\..\Imagery\ScannedPhotos\1986\MN86-362.jpg</v>
      </c>
    </row>
    <row r="19" spans="1:13" x14ac:dyDescent="0.25">
      <c r="A19" t="s">
        <v>102</v>
      </c>
      <c r="B19">
        <v>565412</v>
      </c>
      <c r="C19">
        <v>5842575</v>
      </c>
      <c r="D19">
        <v>21</v>
      </c>
      <c r="E19" t="s">
        <v>15</v>
      </c>
      <c r="F19" t="s">
        <v>103</v>
      </c>
      <c r="G19">
        <v>1</v>
      </c>
      <c r="H19" t="s">
        <v>99</v>
      </c>
      <c r="I19" t="s">
        <v>94</v>
      </c>
      <c r="J19" t="s">
        <v>100</v>
      </c>
      <c r="K19" t="s">
        <v>20</v>
      </c>
      <c r="L19" t="s">
        <v>104</v>
      </c>
      <c r="M19" s="3" t="str">
        <f>HYPERLINK("..\..\Imagery\ScannedPhotos\1986\MN86-363.jpg")</f>
        <v>..\..\Imagery\ScannedPhotos\1986\MN86-363.jpg</v>
      </c>
    </row>
    <row r="20" spans="1:13" x14ac:dyDescent="0.25">
      <c r="A20" t="s">
        <v>105</v>
      </c>
      <c r="B20">
        <v>472086</v>
      </c>
      <c r="C20">
        <v>5929461</v>
      </c>
      <c r="D20">
        <v>21</v>
      </c>
      <c r="E20" t="s">
        <v>15</v>
      </c>
      <c r="F20" t="s">
        <v>106</v>
      </c>
      <c r="G20">
        <v>3</v>
      </c>
      <c r="H20" t="s">
        <v>107</v>
      </c>
      <c r="I20" t="s">
        <v>108</v>
      </c>
      <c r="J20" t="s">
        <v>48</v>
      </c>
      <c r="K20" t="s">
        <v>109</v>
      </c>
      <c r="L20" t="s">
        <v>110</v>
      </c>
      <c r="M20" s="3" t="str">
        <f>HYPERLINK("..\..\Imagery\ScannedPhotos\1981\CG81-190.3.jpg")</f>
        <v>..\..\Imagery\ScannedPhotos\1981\CG81-190.3.jpg</v>
      </c>
    </row>
    <row r="21" spans="1:13" x14ac:dyDescent="0.25">
      <c r="A21" t="s">
        <v>111</v>
      </c>
      <c r="B21">
        <v>493750</v>
      </c>
      <c r="C21">
        <v>5953014</v>
      </c>
      <c r="D21">
        <v>21</v>
      </c>
      <c r="E21" t="s">
        <v>15</v>
      </c>
      <c r="F21" t="s">
        <v>112</v>
      </c>
      <c r="G21">
        <v>1</v>
      </c>
      <c r="H21" t="s">
        <v>113</v>
      </c>
      <c r="I21" t="s">
        <v>114</v>
      </c>
      <c r="J21" t="s">
        <v>115</v>
      </c>
      <c r="K21" t="s">
        <v>20</v>
      </c>
      <c r="L21" t="s">
        <v>116</v>
      </c>
      <c r="M21" s="3" t="str">
        <f>HYPERLINK("..\..\Imagery\ScannedPhotos\1977\MC77-062.jpg")</f>
        <v>..\..\Imagery\ScannedPhotos\1977\MC77-062.jpg</v>
      </c>
    </row>
    <row r="22" spans="1:13" x14ac:dyDescent="0.25">
      <c r="A22" t="s">
        <v>117</v>
      </c>
      <c r="B22">
        <v>494027</v>
      </c>
      <c r="C22">
        <v>5951601</v>
      </c>
      <c r="D22">
        <v>21</v>
      </c>
      <c r="E22" t="s">
        <v>15</v>
      </c>
      <c r="F22" t="s">
        <v>118</v>
      </c>
      <c r="G22">
        <v>2</v>
      </c>
      <c r="H22" t="s">
        <v>113</v>
      </c>
      <c r="I22" t="s">
        <v>119</v>
      </c>
      <c r="J22" t="s">
        <v>115</v>
      </c>
      <c r="K22" t="s">
        <v>20</v>
      </c>
      <c r="L22" t="s">
        <v>120</v>
      </c>
      <c r="M22" s="3" t="str">
        <f>HYPERLINK("..\..\Imagery\ScannedPhotos\1977\MC77-064.1.jpg")</f>
        <v>..\..\Imagery\ScannedPhotos\1977\MC77-064.1.jpg</v>
      </c>
    </row>
    <row r="23" spans="1:13" x14ac:dyDescent="0.25">
      <c r="A23" t="s">
        <v>117</v>
      </c>
      <c r="B23">
        <v>494027</v>
      </c>
      <c r="C23">
        <v>5951601</v>
      </c>
      <c r="D23">
        <v>21</v>
      </c>
      <c r="E23" t="s">
        <v>15</v>
      </c>
      <c r="F23" t="s">
        <v>121</v>
      </c>
      <c r="G23">
        <v>2</v>
      </c>
      <c r="H23" t="s">
        <v>113</v>
      </c>
      <c r="I23" t="s">
        <v>122</v>
      </c>
      <c r="J23" t="s">
        <v>115</v>
      </c>
      <c r="K23" t="s">
        <v>20</v>
      </c>
      <c r="L23" t="s">
        <v>123</v>
      </c>
      <c r="M23" s="3" t="str">
        <f>HYPERLINK("..\..\Imagery\ScannedPhotos\1977\MC77-064.2.jpg")</f>
        <v>..\..\Imagery\ScannedPhotos\1977\MC77-064.2.jpg</v>
      </c>
    </row>
    <row r="24" spans="1:13" x14ac:dyDescent="0.25">
      <c r="A24" t="s">
        <v>124</v>
      </c>
      <c r="B24">
        <v>498477</v>
      </c>
      <c r="C24">
        <v>5951283</v>
      </c>
      <c r="D24">
        <v>21</v>
      </c>
      <c r="E24" t="s">
        <v>15</v>
      </c>
      <c r="F24" t="s">
        <v>125</v>
      </c>
      <c r="G24">
        <v>4</v>
      </c>
      <c r="H24" t="s">
        <v>113</v>
      </c>
      <c r="I24" t="s">
        <v>126</v>
      </c>
      <c r="J24" t="s">
        <v>115</v>
      </c>
      <c r="K24" t="s">
        <v>20</v>
      </c>
      <c r="L24" t="s">
        <v>127</v>
      </c>
      <c r="M24" s="3" t="str">
        <f>HYPERLINK("..\..\Imagery\ScannedPhotos\1977\MC77-072.1.jpg")</f>
        <v>..\..\Imagery\ScannedPhotos\1977\MC77-072.1.jpg</v>
      </c>
    </row>
    <row r="25" spans="1:13" x14ac:dyDescent="0.25">
      <c r="A25" t="s">
        <v>124</v>
      </c>
      <c r="B25">
        <v>498477</v>
      </c>
      <c r="C25">
        <v>5951283</v>
      </c>
      <c r="D25">
        <v>21</v>
      </c>
      <c r="E25" t="s">
        <v>15</v>
      </c>
      <c r="F25" t="s">
        <v>128</v>
      </c>
      <c r="G25">
        <v>4</v>
      </c>
      <c r="H25" t="s">
        <v>113</v>
      </c>
      <c r="I25" t="s">
        <v>129</v>
      </c>
      <c r="J25" t="s">
        <v>115</v>
      </c>
      <c r="K25" t="s">
        <v>56</v>
      </c>
      <c r="L25" t="s">
        <v>130</v>
      </c>
      <c r="M25" s="3" t="str">
        <f>HYPERLINK("..\..\Imagery\ScannedPhotos\1977\MC77-072.4.jpg")</f>
        <v>..\..\Imagery\ScannedPhotos\1977\MC77-072.4.jpg</v>
      </c>
    </row>
    <row r="26" spans="1:13" x14ac:dyDescent="0.25">
      <c r="A26" t="s">
        <v>124</v>
      </c>
      <c r="B26">
        <v>498477</v>
      </c>
      <c r="C26">
        <v>5951283</v>
      </c>
      <c r="D26">
        <v>21</v>
      </c>
      <c r="E26" t="s">
        <v>15</v>
      </c>
      <c r="F26" t="s">
        <v>131</v>
      </c>
      <c r="G26">
        <v>4</v>
      </c>
      <c r="H26" t="s">
        <v>113</v>
      </c>
      <c r="I26" t="s">
        <v>132</v>
      </c>
      <c r="J26" t="s">
        <v>115</v>
      </c>
      <c r="K26" t="s">
        <v>20</v>
      </c>
      <c r="L26" t="s">
        <v>133</v>
      </c>
      <c r="M26" s="3" t="str">
        <f>HYPERLINK("..\..\Imagery\ScannedPhotos\1977\MC77-072.3.jpg")</f>
        <v>..\..\Imagery\ScannedPhotos\1977\MC77-072.3.jpg</v>
      </c>
    </row>
    <row r="27" spans="1:13" x14ac:dyDescent="0.25">
      <c r="A27" t="s">
        <v>134</v>
      </c>
      <c r="B27">
        <v>582169</v>
      </c>
      <c r="C27">
        <v>5899769</v>
      </c>
      <c r="D27">
        <v>21</v>
      </c>
      <c r="E27" t="s">
        <v>15</v>
      </c>
      <c r="F27" t="s">
        <v>135</v>
      </c>
      <c r="G27">
        <v>6</v>
      </c>
      <c r="H27" t="s">
        <v>136</v>
      </c>
      <c r="I27" t="s">
        <v>137</v>
      </c>
      <c r="J27" t="s">
        <v>138</v>
      </c>
      <c r="K27" t="s">
        <v>20</v>
      </c>
      <c r="L27" t="s">
        <v>139</v>
      </c>
      <c r="M27" s="3" t="str">
        <f>HYPERLINK("..\..\Imagery\ScannedPhotos\1985\GM85-536.1.jpg")</f>
        <v>..\..\Imagery\ScannedPhotos\1985\GM85-536.1.jpg</v>
      </c>
    </row>
    <row r="28" spans="1:13" x14ac:dyDescent="0.25">
      <c r="A28" t="s">
        <v>140</v>
      </c>
      <c r="B28">
        <v>495503</v>
      </c>
      <c r="C28">
        <v>5945967</v>
      </c>
      <c r="D28">
        <v>21</v>
      </c>
      <c r="E28" t="s">
        <v>15</v>
      </c>
      <c r="F28" t="s">
        <v>141</v>
      </c>
      <c r="G28">
        <v>2</v>
      </c>
      <c r="H28" t="s">
        <v>142</v>
      </c>
      <c r="I28" t="s">
        <v>143</v>
      </c>
      <c r="J28" t="s">
        <v>144</v>
      </c>
      <c r="K28" t="s">
        <v>20</v>
      </c>
      <c r="L28" t="s">
        <v>145</v>
      </c>
      <c r="M28" s="3" t="str">
        <f>HYPERLINK("..\..\Imagery\ScannedPhotos\1977\MC77-026.1.jpg")</f>
        <v>..\..\Imagery\ScannedPhotos\1977\MC77-026.1.jpg</v>
      </c>
    </row>
    <row r="29" spans="1:13" x14ac:dyDescent="0.25">
      <c r="A29" t="s">
        <v>140</v>
      </c>
      <c r="B29">
        <v>495503</v>
      </c>
      <c r="C29">
        <v>5945967</v>
      </c>
      <c r="D29">
        <v>21</v>
      </c>
      <c r="E29" t="s">
        <v>15</v>
      </c>
      <c r="F29" t="s">
        <v>146</v>
      </c>
      <c r="G29">
        <v>2</v>
      </c>
      <c r="H29" t="s">
        <v>142</v>
      </c>
      <c r="I29" t="s">
        <v>147</v>
      </c>
      <c r="J29" t="s">
        <v>144</v>
      </c>
      <c r="K29" t="s">
        <v>20</v>
      </c>
      <c r="L29" t="s">
        <v>148</v>
      </c>
      <c r="M29" s="3" t="str">
        <f>HYPERLINK("..\..\Imagery\ScannedPhotos\1977\MC77-026.2.jpg")</f>
        <v>..\..\Imagery\ScannedPhotos\1977\MC77-026.2.jpg</v>
      </c>
    </row>
    <row r="30" spans="1:13" x14ac:dyDescent="0.25">
      <c r="A30" t="s">
        <v>149</v>
      </c>
      <c r="B30">
        <v>495409</v>
      </c>
      <c r="C30">
        <v>5946623</v>
      </c>
      <c r="D30">
        <v>21</v>
      </c>
      <c r="E30" t="s">
        <v>15</v>
      </c>
      <c r="F30" t="s">
        <v>150</v>
      </c>
      <c r="G30">
        <v>2</v>
      </c>
      <c r="H30" t="s">
        <v>142</v>
      </c>
      <c r="I30" t="s">
        <v>47</v>
      </c>
      <c r="J30" t="s">
        <v>144</v>
      </c>
      <c r="K30" t="s">
        <v>56</v>
      </c>
      <c r="L30" t="s">
        <v>151</v>
      </c>
      <c r="M30" s="3" t="str">
        <f>HYPERLINK("..\..\Imagery\ScannedPhotos\1977\MC77-027.1.jpg")</f>
        <v>..\..\Imagery\ScannedPhotos\1977\MC77-027.1.jpg</v>
      </c>
    </row>
    <row r="31" spans="1:13" x14ac:dyDescent="0.25">
      <c r="A31" t="s">
        <v>149</v>
      </c>
      <c r="B31">
        <v>495409</v>
      </c>
      <c r="C31">
        <v>5946623</v>
      </c>
      <c r="D31">
        <v>21</v>
      </c>
      <c r="E31" t="s">
        <v>15</v>
      </c>
      <c r="F31" t="s">
        <v>152</v>
      </c>
      <c r="G31">
        <v>2</v>
      </c>
      <c r="H31" t="s">
        <v>142</v>
      </c>
      <c r="I31" t="s">
        <v>52</v>
      </c>
      <c r="J31" t="s">
        <v>144</v>
      </c>
      <c r="K31" t="s">
        <v>56</v>
      </c>
      <c r="L31" t="s">
        <v>151</v>
      </c>
      <c r="M31" s="3" t="str">
        <f>HYPERLINK("..\..\Imagery\ScannedPhotos\1977\MC77-027.2.jpg")</f>
        <v>..\..\Imagery\ScannedPhotos\1977\MC77-027.2.jpg</v>
      </c>
    </row>
    <row r="32" spans="1:13" x14ac:dyDescent="0.25">
      <c r="A32" t="s">
        <v>153</v>
      </c>
      <c r="B32">
        <v>445272</v>
      </c>
      <c r="C32">
        <v>5908314</v>
      </c>
      <c r="D32">
        <v>21</v>
      </c>
      <c r="E32" t="s">
        <v>15</v>
      </c>
      <c r="F32" t="s">
        <v>154</v>
      </c>
      <c r="G32">
        <v>2</v>
      </c>
      <c r="H32" t="s">
        <v>155</v>
      </c>
      <c r="I32" t="s">
        <v>137</v>
      </c>
      <c r="J32" t="s">
        <v>156</v>
      </c>
      <c r="K32" t="s">
        <v>20</v>
      </c>
      <c r="L32" t="s">
        <v>157</v>
      </c>
      <c r="M32" s="3" t="str">
        <f>HYPERLINK("..\..\Imagery\ScannedPhotos\1984\NN84-098.1.jpg")</f>
        <v>..\..\Imagery\ScannedPhotos\1984\NN84-098.1.jpg</v>
      </c>
    </row>
    <row r="33" spans="1:13" x14ac:dyDescent="0.25">
      <c r="A33" t="s">
        <v>153</v>
      </c>
      <c r="B33">
        <v>445272</v>
      </c>
      <c r="C33">
        <v>5908314</v>
      </c>
      <c r="D33">
        <v>21</v>
      </c>
      <c r="E33" t="s">
        <v>15</v>
      </c>
      <c r="F33" t="s">
        <v>158</v>
      </c>
      <c r="G33">
        <v>2</v>
      </c>
      <c r="H33" t="s">
        <v>155</v>
      </c>
      <c r="I33" t="s">
        <v>18</v>
      </c>
      <c r="J33" t="s">
        <v>156</v>
      </c>
      <c r="K33" t="s">
        <v>20</v>
      </c>
      <c r="L33" t="s">
        <v>159</v>
      </c>
      <c r="M33" s="3" t="str">
        <f>HYPERLINK("..\..\Imagery\ScannedPhotos\1984\NN84-098.2.jpg")</f>
        <v>..\..\Imagery\ScannedPhotos\1984\NN84-098.2.jpg</v>
      </c>
    </row>
    <row r="34" spans="1:13" x14ac:dyDescent="0.25">
      <c r="A34" t="s">
        <v>160</v>
      </c>
      <c r="B34">
        <v>445371</v>
      </c>
      <c r="C34">
        <v>5908665</v>
      </c>
      <c r="D34">
        <v>21</v>
      </c>
      <c r="E34" t="s">
        <v>15</v>
      </c>
      <c r="F34" t="s">
        <v>161</v>
      </c>
      <c r="G34">
        <v>1</v>
      </c>
      <c r="H34" t="s">
        <v>155</v>
      </c>
      <c r="I34" t="s">
        <v>85</v>
      </c>
      <c r="J34" t="s">
        <v>156</v>
      </c>
      <c r="K34" t="s">
        <v>56</v>
      </c>
      <c r="L34" t="s">
        <v>162</v>
      </c>
      <c r="M34" s="3" t="str">
        <f>HYPERLINK("..\..\Imagery\ScannedPhotos\1984\NN84-100.jpg")</f>
        <v>..\..\Imagery\ScannedPhotos\1984\NN84-100.jpg</v>
      </c>
    </row>
    <row r="35" spans="1:13" x14ac:dyDescent="0.25">
      <c r="A35" t="s">
        <v>163</v>
      </c>
      <c r="B35">
        <v>596314</v>
      </c>
      <c r="C35">
        <v>5792745</v>
      </c>
      <c r="D35">
        <v>21</v>
      </c>
      <c r="E35" t="s">
        <v>15</v>
      </c>
      <c r="F35" t="s">
        <v>164</v>
      </c>
      <c r="G35">
        <v>1</v>
      </c>
      <c r="K35" t="s">
        <v>20</v>
      </c>
      <c r="L35" t="s">
        <v>165</v>
      </c>
      <c r="M35" s="3" t="str">
        <f>HYPERLINK("..\..\Imagery\ScannedPhotos\2007\CG07-124.jpg")</f>
        <v>..\..\Imagery\ScannedPhotos\2007\CG07-124.jpg</v>
      </c>
    </row>
    <row r="36" spans="1:13" x14ac:dyDescent="0.25">
      <c r="A36" t="s">
        <v>166</v>
      </c>
      <c r="B36">
        <v>596321</v>
      </c>
      <c r="C36">
        <v>5792759</v>
      </c>
      <c r="D36">
        <v>21</v>
      </c>
      <c r="E36" t="s">
        <v>15</v>
      </c>
      <c r="F36" t="s">
        <v>167</v>
      </c>
      <c r="G36">
        <v>1</v>
      </c>
      <c r="K36" t="s">
        <v>20</v>
      </c>
      <c r="L36" t="s">
        <v>168</v>
      </c>
      <c r="M36" s="3" t="str">
        <f>HYPERLINK("..\..\Imagery\ScannedPhotos\2007\CG07-125.jpg")</f>
        <v>..\..\Imagery\ScannedPhotos\2007\CG07-125.jpg</v>
      </c>
    </row>
    <row r="37" spans="1:13" x14ac:dyDescent="0.25">
      <c r="A37" t="s">
        <v>169</v>
      </c>
      <c r="B37">
        <v>596330</v>
      </c>
      <c r="C37">
        <v>5792798</v>
      </c>
      <c r="D37">
        <v>21</v>
      </c>
      <c r="E37" t="s">
        <v>15</v>
      </c>
      <c r="F37" t="s">
        <v>170</v>
      </c>
      <c r="G37">
        <v>1</v>
      </c>
      <c r="K37" t="s">
        <v>56</v>
      </c>
      <c r="L37" t="s">
        <v>171</v>
      </c>
      <c r="M37" s="3" t="str">
        <f>HYPERLINK("..\..\Imagery\ScannedPhotos\2007\CG07-126.jpg")</f>
        <v>..\..\Imagery\ScannedPhotos\2007\CG07-126.jpg</v>
      </c>
    </row>
    <row r="38" spans="1:13" x14ac:dyDescent="0.25">
      <c r="A38" t="s">
        <v>172</v>
      </c>
      <c r="B38">
        <v>596299</v>
      </c>
      <c r="C38">
        <v>5792815</v>
      </c>
      <c r="D38">
        <v>21</v>
      </c>
      <c r="E38" t="s">
        <v>15</v>
      </c>
      <c r="F38" t="s">
        <v>173</v>
      </c>
      <c r="G38">
        <v>1</v>
      </c>
      <c r="K38" t="s">
        <v>20</v>
      </c>
      <c r="L38" t="s">
        <v>168</v>
      </c>
      <c r="M38" s="3" t="str">
        <f>HYPERLINK("..\..\Imagery\ScannedPhotos\2007\CG07-127.jpg")</f>
        <v>..\..\Imagery\ScannedPhotos\2007\CG07-127.jpg</v>
      </c>
    </row>
    <row r="39" spans="1:13" x14ac:dyDescent="0.25">
      <c r="A39" t="s">
        <v>174</v>
      </c>
      <c r="B39">
        <v>596311</v>
      </c>
      <c r="C39">
        <v>5792810</v>
      </c>
      <c r="D39">
        <v>21</v>
      </c>
      <c r="E39" t="s">
        <v>15</v>
      </c>
      <c r="F39" t="s">
        <v>175</v>
      </c>
      <c r="G39">
        <v>2</v>
      </c>
      <c r="K39" t="s">
        <v>56</v>
      </c>
      <c r="L39" t="s">
        <v>176</v>
      </c>
      <c r="M39" s="3" t="str">
        <f>HYPERLINK("..\..\Imagery\ScannedPhotos\2007\CG07-128.1.jpg")</f>
        <v>..\..\Imagery\ScannedPhotos\2007\CG07-128.1.jpg</v>
      </c>
    </row>
    <row r="40" spans="1:13" x14ac:dyDescent="0.25">
      <c r="A40" t="s">
        <v>174</v>
      </c>
      <c r="B40">
        <v>596311</v>
      </c>
      <c r="C40">
        <v>5792810</v>
      </c>
      <c r="D40">
        <v>21</v>
      </c>
      <c r="E40" t="s">
        <v>15</v>
      </c>
      <c r="F40" t="s">
        <v>177</v>
      </c>
      <c r="G40">
        <v>2</v>
      </c>
      <c r="K40" t="s">
        <v>56</v>
      </c>
      <c r="L40" t="s">
        <v>176</v>
      </c>
      <c r="M40" s="3" t="str">
        <f>HYPERLINK("..\..\Imagery\ScannedPhotos\2007\CG07-128.2.jpg")</f>
        <v>..\..\Imagery\ScannedPhotos\2007\CG07-128.2.jpg</v>
      </c>
    </row>
    <row r="41" spans="1:13" x14ac:dyDescent="0.25">
      <c r="A41" t="s">
        <v>178</v>
      </c>
      <c r="B41">
        <v>596346</v>
      </c>
      <c r="C41">
        <v>5792717</v>
      </c>
      <c r="D41">
        <v>21</v>
      </c>
      <c r="E41" t="s">
        <v>15</v>
      </c>
      <c r="F41" t="s">
        <v>179</v>
      </c>
      <c r="G41">
        <v>1</v>
      </c>
      <c r="K41" t="s">
        <v>56</v>
      </c>
      <c r="L41" t="s">
        <v>180</v>
      </c>
      <c r="M41" s="3" t="str">
        <f>HYPERLINK("..\..\Imagery\ScannedPhotos\2007\CG07-129.jpg")</f>
        <v>..\..\Imagery\ScannedPhotos\2007\CG07-129.jpg</v>
      </c>
    </row>
    <row r="42" spans="1:13" x14ac:dyDescent="0.25">
      <c r="A42" t="s">
        <v>181</v>
      </c>
      <c r="B42">
        <v>596481</v>
      </c>
      <c r="C42">
        <v>5792935</v>
      </c>
      <c r="D42">
        <v>21</v>
      </c>
      <c r="E42" t="s">
        <v>15</v>
      </c>
      <c r="F42" t="s">
        <v>182</v>
      </c>
      <c r="G42">
        <v>2</v>
      </c>
      <c r="K42" t="s">
        <v>20</v>
      </c>
      <c r="L42" t="s">
        <v>183</v>
      </c>
      <c r="M42" s="3" t="str">
        <f>HYPERLINK("..\..\Imagery\ScannedPhotos\2007\CG07-130.1.jpg")</f>
        <v>..\..\Imagery\ScannedPhotos\2007\CG07-130.1.jpg</v>
      </c>
    </row>
    <row r="43" spans="1:13" x14ac:dyDescent="0.25">
      <c r="A43" t="s">
        <v>181</v>
      </c>
      <c r="B43">
        <v>596481</v>
      </c>
      <c r="C43">
        <v>5792935</v>
      </c>
      <c r="D43">
        <v>21</v>
      </c>
      <c r="E43" t="s">
        <v>15</v>
      </c>
      <c r="F43" t="s">
        <v>184</v>
      </c>
      <c r="G43">
        <v>2</v>
      </c>
      <c r="K43" t="s">
        <v>56</v>
      </c>
      <c r="L43" t="s">
        <v>185</v>
      </c>
      <c r="M43" s="3" t="str">
        <f>HYPERLINK("..\..\Imagery\ScannedPhotos\2007\CG07-130.2.jpg")</f>
        <v>..\..\Imagery\ScannedPhotos\2007\CG07-130.2.jpg</v>
      </c>
    </row>
    <row r="44" spans="1:13" x14ac:dyDescent="0.25">
      <c r="A44" t="s">
        <v>186</v>
      </c>
      <c r="B44">
        <v>596406</v>
      </c>
      <c r="C44">
        <v>5792885</v>
      </c>
      <c r="D44">
        <v>21</v>
      </c>
      <c r="E44" t="s">
        <v>15</v>
      </c>
      <c r="F44" t="s">
        <v>187</v>
      </c>
      <c r="G44">
        <v>3</v>
      </c>
      <c r="K44" t="s">
        <v>20</v>
      </c>
      <c r="L44" t="s">
        <v>188</v>
      </c>
      <c r="M44" s="3" t="str">
        <f>HYPERLINK("..\..\Imagery\ScannedPhotos\2007\CG07-132.1.jpg")</f>
        <v>..\..\Imagery\ScannedPhotos\2007\CG07-132.1.jpg</v>
      </c>
    </row>
    <row r="45" spans="1:13" x14ac:dyDescent="0.25">
      <c r="A45" t="s">
        <v>186</v>
      </c>
      <c r="B45">
        <v>596406</v>
      </c>
      <c r="C45">
        <v>5792885</v>
      </c>
      <c r="D45">
        <v>21</v>
      </c>
      <c r="E45" t="s">
        <v>15</v>
      </c>
      <c r="F45" t="s">
        <v>189</v>
      </c>
      <c r="G45">
        <v>3</v>
      </c>
      <c r="K45" t="s">
        <v>20</v>
      </c>
      <c r="L45" t="s">
        <v>190</v>
      </c>
      <c r="M45" s="3" t="str">
        <f>HYPERLINK("..\..\Imagery\ScannedPhotos\2007\CG07-132.2.jpg")</f>
        <v>..\..\Imagery\ScannedPhotos\2007\CG07-132.2.jpg</v>
      </c>
    </row>
    <row r="46" spans="1:13" x14ac:dyDescent="0.25">
      <c r="A46" t="s">
        <v>191</v>
      </c>
      <c r="B46">
        <v>490389</v>
      </c>
      <c r="C46">
        <v>5941217</v>
      </c>
      <c r="D46">
        <v>21</v>
      </c>
      <c r="E46" t="s">
        <v>15</v>
      </c>
      <c r="F46" t="s">
        <v>192</v>
      </c>
      <c r="G46">
        <v>2</v>
      </c>
      <c r="H46" t="s">
        <v>142</v>
      </c>
      <c r="I46" t="s">
        <v>25</v>
      </c>
      <c r="J46" t="s">
        <v>144</v>
      </c>
      <c r="K46" t="s">
        <v>20</v>
      </c>
      <c r="L46" t="s">
        <v>193</v>
      </c>
      <c r="M46" s="3" t="str">
        <f>HYPERLINK("..\..\Imagery\ScannedPhotos\1977\MC77-015.2.jpg")</f>
        <v>..\..\Imagery\ScannedPhotos\1977\MC77-015.2.jpg</v>
      </c>
    </row>
    <row r="47" spans="1:13" x14ac:dyDescent="0.25">
      <c r="A47" t="s">
        <v>191</v>
      </c>
      <c r="B47">
        <v>490389</v>
      </c>
      <c r="C47">
        <v>5941217</v>
      </c>
      <c r="D47">
        <v>21</v>
      </c>
      <c r="E47" t="s">
        <v>15</v>
      </c>
      <c r="F47" t="s">
        <v>194</v>
      </c>
      <c r="G47">
        <v>2</v>
      </c>
      <c r="H47" t="s">
        <v>142</v>
      </c>
      <c r="I47" t="s">
        <v>195</v>
      </c>
      <c r="J47" t="s">
        <v>144</v>
      </c>
      <c r="K47" t="s">
        <v>20</v>
      </c>
      <c r="L47" t="s">
        <v>193</v>
      </c>
      <c r="M47" s="3" t="str">
        <f>HYPERLINK("..\..\Imagery\ScannedPhotos\1977\MC77-015.1.jpg")</f>
        <v>..\..\Imagery\ScannedPhotos\1977\MC77-015.1.jpg</v>
      </c>
    </row>
    <row r="48" spans="1:13" x14ac:dyDescent="0.25">
      <c r="A48" t="s">
        <v>196</v>
      </c>
      <c r="B48">
        <v>495020</v>
      </c>
      <c r="C48">
        <v>5943786</v>
      </c>
      <c r="D48">
        <v>21</v>
      </c>
      <c r="E48" t="s">
        <v>15</v>
      </c>
      <c r="F48" t="s">
        <v>197</v>
      </c>
      <c r="G48">
        <v>1</v>
      </c>
      <c r="H48" t="s">
        <v>142</v>
      </c>
      <c r="I48" t="s">
        <v>114</v>
      </c>
      <c r="J48" t="s">
        <v>144</v>
      </c>
      <c r="K48" t="s">
        <v>20</v>
      </c>
      <c r="L48" t="s">
        <v>198</v>
      </c>
      <c r="M48" s="3" t="str">
        <f>HYPERLINK("..\..\Imagery\ScannedPhotos\1977\MC77-020.jpg")</f>
        <v>..\..\Imagery\ScannedPhotos\1977\MC77-020.jpg</v>
      </c>
    </row>
    <row r="49" spans="1:13" x14ac:dyDescent="0.25">
      <c r="A49" t="s">
        <v>199</v>
      </c>
      <c r="B49">
        <v>565290</v>
      </c>
      <c r="C49">
        <v>5870947</v>
      </c>
      <c r="D49">
        <v>21</v>
      </c>
      <c r="E49" t="s">
        <v>15</v>
      </c>
      <c r="F49" t="s">
        <v>200</v>
      </c>
      <c r="G49">
        <v>5</v>
      </c>
      <c r="H49" t="s">
        <v>201</v>
      </c>
      <c r="I49" t="s">
        <v>69</v>
      </c>
      <c r="J49" t="s">
        <v>202</v>
      </c>
      <c r="K49" t="s">
        <v>20</v>
      </c>
      <c r="L49" t="s">
        <v>203</v>
      </c>
      <c r="M49" s="3" t="str">
        <f>HYPERLINK("..\..\Imagery\ScannedPhotos\1986\CG86-114.2.jpg")</f>
        <v>..\..\Imagery\ScannedPhotos\1986\CG86-114.2.jpg</v>
      </c>
    </row>
    <row r="50" spans="1:13" x14ac:dyDescent="0.25">
      <c r="A50" t="s">
        <v>199</v>
      </c>
      <c r="B50">
        <v>565290</v>
      </c>
      <c r="C50">
        <v>5870947</v>
      </c>
      <c r="D50">
        <v>21</v>
      </c>
      <c r="E50" t="s">
        <v>15</v>
      </c>
      <c r="F50" t="s">
        <v>204</v>
      </c>
      <c r="G50">
        <v>5</v>
      </c>
      <c r="H50" t="s">
        <v>201</v>
      </c>
      <c r="I50" t="s">
        <v>41</v>
      </c>
      <c r="J50" t="s">
        <v>202</v>
      </c>
      <c r="K50" t="s">
        <v>20</v>
      </c>
      <c r="L50" t="s">
        <v>203</v>
      </c>
      <c r="M50" s="3" t="str">
        <f>HYPERLINK("..\..\Imagery\ScannedPhotos\1986\CG86-114.4.jpg")</f>
        <v>..\..\Imagery\ScannedPhotos\1986\CG86-114.4.jpg</v>
      </c>
    </row>
    <row r="51" spans="1:13" x14ac:dyDescent="0.25">
      <c r="A51" t="s">
        <v>199</v>
      </c>
      <c r="B51">
        <v>565290</v>
      </c>
      <c r="C51">
        <v>5870947</v>
      </c>
      <c r="D51">
        <v>21</v>
      </c>
      <c r="E51" t="s">
        <v>15</v>
      </c>
      <c r="F51" t="s">
        <v>205</v>
      </c>
      <c r="G51">
        <v>5</v>
      </c>
      <c r="H51" t="s">
        <v>201</v>
      </c>
      <c r="I51" t="s">
        <v>85</v>
      </c>
      <c r="J51" t="s">
        <v>202</v>
      </c>
      <c r="K51" t="s">
        <v>20</v>
      </c>
      <c r="L51" t="s">
        <v>203</v>
      </c>
      <c r="M51" s="3" t="str">
        <f>HYPERLINK("..\..\Imagery\ScannedPhotos\1986\CG86-114.5.jpg")</f>
        <v>..\..\Imagery\ScannedPhotos\1986\CG86-114.5.jpg</v>
      </c>
    </row>
    <row r="52" spans="1:13" x14ac:dyDescent="0.25">
      <c r="A52" t="s">
        <v>206</v>
      </c>
      <c r="B52">
        <v>391140</v>
      </c>
      <c r="C52">
        <v>6089425</v>
      </c>
      <c r="D52">
        <v>21</v>
      </c>
      <c r="E52" t="s">
        <v>15</v>
      </c>
      <c r="F52" t="s">
        <v>207</v>
      </c>
      <c r="G52">
        <v>2</v>
      </c>
      <c r="H52" t="s">
        <v>208</v>
      </c>
      <c r="I52" t="s">
        <v>209</v>
      </c>
      <c r="J52" t="s">
        <v>210</v>
      </c>
      <c r="K52" t="s">
        <v>20</v>
      </c>
      <c r="L52" t="s">
        <v>211</v>
      </c>
      <c r="M52" s="3" t="str">
        <f>HYPERLINK("..\..\Imagery\ScannedPhotos\1979\AD79-078.2.jpg")</f>
        <v>..\..\Imagery\ScannedPhotos\1979\AD79-078.2.jpg</v>
      </c>
    </row>
    <row r="53" spans="1:13" x14ac:dyDescent="0.25">
      <c r="A53" t="s">
        <v>212</v>
      </c>
      <c r="B53">
        <v>390989</v>
      </c>
      <c r="C53">
        <v>6087816</v>
      </c>
      <c r="D53">
        <v>21</v>
      </c>
      <c r="E53" t="s">
        <v>15</v>
      </c>
      <c r="F53" t="s">
        <v>213</v>
      </c>
      <c r="G53">
        <v>2</v>
      </c>
      <c r="H53" t="s">
        <v>208</v>
      </c>
      <c r="I53" t="s">
        <v>214</v>
      </c>
      <c r="J53" t="s">
        <v>210</v>
      </c>
      <c r="K53" t="s">
        <v>20</v>
      </c>
      <c r="L53" t="s">
        <v>215</v>
      </c>
      <c r="M53" s="3" t="str">
        <f>HYPERLINK("..\..\Imagery\ScannedPhotos\1979\AD79-088.2.jpg")</f>
        <v>..\..\Imagery\ScannedPhotos\1979\AD79-088.2.jpg</v>
      </c>
    </row>
    <row r="54" spans="1:13" x14ac:dyDescent="0.25">
      <c r="A54" t="s">
        <v>212</v>
      </c>
      <c r="B54">
        <v>390989</v>
      </c>
      <c r="C54">
        <v>6087816</v>
      </c>
      <c r="D54">
        <v>21</v>
      </c>
      <c r="E54" t="s">
        <v>15</v>
      </c>
      <c r="F54" t="s">
        <v>216</v>
      </c>
      <c r="G54">
        <v>2</v>
      </c>
      <c r="H54" t="s">
        <v>208</v>
      </c>
      <c r="I54" t="s">
        <v>217</v>
      </c>
      <c r="J54" t="s">
        <v>210</v>
      </c>
      <c r="K54" t="s">
        <v>56</v>
      </c>
      <c r="L54" t="s">
        <v>218</v>
      </c>
      <c r="M54" s="3" t="str">
        <f>HYPERLINK("..\..\Imagery\ScannedPhotos\1979\AD79-088.1.jpg")</f>
        <v>..\..\Imagery\ScannedPhotos\1979\AD79-088.1.jpg</v>
      </c>
    </row>
    <row r="55" spans="1:13" x14ac:dyDescent="0.25">
      <c r="A55" t="s">
        <v>219</v>
      </c>
      <c r="B55">
        <v>538047</v>
      </c>
      <c r="C55">
        <v>5953231</v>
      </c>
      <c r="D55">
        <v>21</v>
      </c>
      <c r="E55" t="s">
        <v>15</v>
      </c>
      <c r="F55" t="s">
        <v>220</v>
      </c>
      <c r="G55">
        <v>1</v>
      </c>
      <c r="H55" t="s">
        <v>221</v>
      </c>
      <c r="I55" t="s">
        <v>222</v>
      </c>
      <c r="J55" t="s">
        <v>48</v>
      </c>
      <c r="K55" t="s">
        <v>20</v>
      </c>
      <c r="L55" t="s">
        <v>223</v>
      </c>
      <c r="M55" s="3" t="str">
        <f>HYPERLINK("..\..\Imagery\ScannedPhotos\1981\CG81-347.jpg")</f>
        <v>..\..\Imagery\ScannedPhotos\1981\CG81-347.jpg</v>
      </c>
    </row>
    <row r="56" spans="1:13" x14ac:dyDescent="0.25">
      <c r="A56" t="s">
        <v>224</v>
      </c>
      <c r="B56">
        <v>356120</v>
      </c>
      <c r="C56">
        <v>6033880</v>
      </c>
      <c r="D56">
        <v>21</v>
      </c>
      <c r="E56" t="s">
        <v>15</v>
      </c>
      <c r="F56" t="s">
        <v>225</v>
      </c>
      <c r="G56">
        <v>1</v>
      </c>
      <c r="H56" t="s">
        <v>226</v>
      </c>
      <c r="I56" t="s">
        <v>214</v>
      </c>
      <c r="J56" t="s">
        <v>227</v>
      </c>
      <c r="K56" t="s">
        <v>228</v>
      </c>
      <c r="L56" t="s">
        <v>229</v>
      </c>
      <c r="M56" s="3" t="str">
        <f>HYPERLINK("..\..\Imagery\ScannedPhotos\1983\CG83-053.jpg")</f>
        <v>..\..\Imagery\ScannedPhotos\1983\CG83-053.jpg</v>
      </c>
    </row>
    <row r="57" spans="1:13" x14ac:dyDescent="0.25">
      <c r="A57" t="s">
        <v>230</v>
      </c>
      <c r="B57">
        <v>582004</v>
      </c>
      <c r="C57">
        <v>5805888</v>
      </c>
      <c r="D57">
        <v>21</v>
      </c>
      <c r="E57" t="s">
        <v>15</v>
      </c>
      <c r="F57" t="s">
        <v>231</v>
      </c>
      <c r="G57">
        <v>2</v>
      </c>
      <c r="K57" t="s">
        <v>56</v>
      </c>
      <c r="L57" t="s">
        <v>232</v>
      </c>
      <c r="M57" s="3" t="str">
        <f>HYPERLINK("..\..\Imagery\ScannedPhotos\2003\CG03-288.2.jpg")</f>
        <v>..\..\Imagery\ScannedPhotos\2003\CG03-288.2.jpg</v>
      </c>
    </row>
    <row r="58" spans="1:13" x14ac:dyDescent="0.25">
      <c r="A58" t="s">
        <v>233</v>
      </c>
      <c r="B58">
        <v>587203</v>
      </c>
      <c r="C58">
        <v>5804116</v>
      </c>
      <c r="D58">
        <v>21</v>
      </c>
      <c r="E58" t="s">
        <v>15</v>
      </c>
      <c r="F58" t="s">
        <v>234</v>
      </c>
      <c r="G58">
        <v>2</v>
      </c>
      <c r="K58" t="s">
        <v>56</v>
      </c>
      <c r="L58" t="s">
        <v>235</v>
      </c>
      <c r="M58" s="3" t="str">
        <f>HYPERLINK("..\..\Imagery\ScannedPhotos\2003\CG03-302.1.jpg")</f>
        <v>..\..\Imagery\ScannedPhotos\2003\CG03-302.1.jpg</v>
      </c>
    </row>
    <row r="59" spans="1:13" x14ac:dyDescent="0.25">
      <c r="A59" t="s">
        <v>233</v>
      </c>
      <c r="B59">
        <v>587203</v>
      </c>
      <c r="C59">
        <v>5804116</v>
      </c>
      <c r="D59">
        <v>21</v>
      </c>
      <c r="E59" t="s">
        <v>15</v>
      </c>
      <c r="F59" t="s">
        <v>236</v>
      </c>
      <c r="G59">
        <v>2</v>
      </c>
      <c r="K59" t="s">
        <v>56</v>
      </c>
      <c r="L59" t="s">
        <v>237</v>
      </c>
      <c r="M59" s="3" t="str">
        <f>HYPERLINK("..\..\Imagery\ScannedPhotos\2003\CG03-302.2.jpg")</f>
        <v>..\..\Imagery\ScannedPhotos\2003\CG03-302.2.jpg</v>
      </c>
    </row>
    <row r="60" spans="1:13" x14ac:dyDescent="0.25">
      <c r="A60" t="s">
        <v>238</v>
      </c>
      <c r="B60">
        <v>547414</v>
      </c>
      <c r="C60">
        <v>5823482</v>
      </c>
      <c r="D60">
        <v>21</v>
      </c>
      <c r="E60" t="s">
        <v>15</v>
      </c>
      <c r="F60" t="s">
        <v>239</v>
      </c>
      <c r="G60">
        <v>10</v>
      </c>
      <c r="K60" t="s">
        <v>56</v>
      </c>
      <c r="L60" t="s">
        <v>240</v>
      </c>
      <c r="M60" s="3" t="str">
        <f>HYPERLINK("..\..\Imagery\ScannedPhotos\2003\CG03-224.1.jpg")</f>
        <v>..\..\Imagery\ScannedPhotos\2003\CG03-224.1.jpg</v>
      </c>
    </row>
    <row r="61" spans="1:13" x14ac:dyDescent="0.25">
      <c r="A61" t="s">
        <v>238</v>
      </c>
      <c r="B61">
        <v>547414</v>
      </c>
      <c r="C61">
        <v>5823482</v>
      </c>
      <c r="D61">
        <v>21</v>
      </c>
      <c r="E61" t="s">
        <v>15</v>
      </c>
      <c r="F61" t="s">
        <v>241</v>
      </c>
      <c r="G61">
        <v>10</v>
      </c>
      <c r="K61" t="s">
        <v>56</v>
      </c>
      <c r="L61" t="s">
        <v>240</v>
      </c>
      <c r="M61" s="3" t="str">
        <f>HYPERLINK("..\..\Imagery\ScannedPhotos\2003\CG03-224.2.jpg")</f>
        <v>..\..\Imagery\ScannedPhotos\2003\CG03-224.2.jpg</v>
      </c>
    </row>
    <row r="62" spans="1:13" x14ac:dyDescent="0.25">
      <c r="A62" t="s">
        <v>238</v>
      </c>
      <c r="B62">
        <v>547414</v>
      </c>
      <c r="C62">
        <v>5823482</v>
      </c>
      <c r="D62">
        <v>21</v>
      </c>
      <c r="E62" t="s">
        <v>15</v>
      </c>
      <c r="F62" t="s">
        <v>242</v>
      </c>
      <c r="G62">
        <v>10</v>
      </c>
      <c r="K62" t="s">
        <v>56</v>
      </c>
      <c r="L62" t="s">
        <v>243</v>
      </c>
      <c r="M62" s="3" t="str">
        <f>HYPERLINK("..\..\Imagery\ScannedPhotos\2003\CG03-224.3.jpg")</f>
        <v>..\..\Imagery\ScannedPhotos\2003\CG03-224.3.jpg</v>
      </c>
    </row>
    <row r="63" spans="1:13" x14ac:dyDescent="0.25">
      <c r="A63" t="s">
        <v>238</v>
      </c>
      <c r="B63">
        <v>547414</v>
      </c>
      <c r="C63">
        <v>5823482</v>
      </c>
      <c r="D63">
        <v>21</v>
      </c>
      <c r="E63" t="s">
        <v>15</v>
      </c>
      <c r="F63" t="s">
        <v>244</v>
      </c>
      <c r="G63">
        <v>10</v>
      </c>
      <c r="K63" t="s">
        <v>56</v>
      </c>
      <c r="L63" t="s">
        <v>245</v>
      </c>
      <c r="M63" s="3" t="str">
        <f>HYPERLINK("..\..\Imagery\ScannedPhotos\2003\CG03-224.4.jpg")</f>
        <v>..\..\Imagery\ScannedPhotos\2003\CG03-224.4.jpg</v>
      </c>
    </row>
    <row r="64" spans="1:13" x14ac:dyDescent="0.25">
      <c r="A64" t="s">
        <v>238</v>
      </c>
      <c r="B64">
        <v>547414</v>
      </c>
      <c r="C64">
        <v>5823482</v>
      </c>
      <c r="D64">
        <v>21</v>
      </c>
      <c r="E64" t="s">
        <v>15</v>
      </c>
      <c r="F64" t="s">
        <v>246</v>
      </c>
      <c r="G64">
        <v>10</v>
      </c>
      <c r="K64" t="s">
        <v>56</v>
      </c>
      <c r="L64" t="s">
        <v>245</v>
      </c>
      <c r="M64" s="3" t="str">
        <f>HYPERLINK("..\..\Imagery\ScannedPhotos\2003\CG03-224.5.jpg")</f>
        <v>..\..\Imagery\ScannedPhotos\2003\CG03-224.5.jpg</v>
      </c>
    </row>
    <row r="65" spans="1:14" x14ac:dyDescent="0.25">
      <c r="A65" t="s">
        <v>247</v>
      </c>
      <c r="B65">
        <v>382741</v>
      </c>
      <c r="C65">
        <v>6102507</v>
      </c>
      <c r="D65">
        <v>21</v>
      </c>
      <c r="E65" t="s">
        <v>15</v>
      </c>
      <c r="F65" t="s">
        <v>248</v>
      </c>
      <c r="G65">
        <v>2</v>
      </c>
      <c r="H65" t="s">
        <v>249</v>
      </c>
      <c r="I65" t="s">
        <v>94</v>
      </c>
      <c r="J65" t="s">
        <v>250</v>
      </c>
      <c r="K65" t="s">
        <v>20</v>
      </c>
      <c r="L65" t="s">
        <v>251</v>
      </c>
      <c r="M65" s="3" t="str">
        <f>HYPERLINK("..\..\Imagery\ScannedPhotos\1979\AD79-027.1.jpg")</f>
        <v>..\..\Imagery\ScannedPhotos\1979\AD79-027.1.jpg</v>
      </c>
    </row>
    <row r="66" spans="1:14" x14ac:dyDescent="0.25">
      <c r="A66" t="s">
        <v>247</v>
      </c>
      <c r="B66">
        <v>382741</v>
      </c>
      <c r="C66">
        <v>6102507</v>
      </c>
      <c r="D66">
        <v>21</v>
      </c>
      <c r="E66" t="s">
        <v>15</v>
      </c>
      <c r="F66" t="s">
        <v>252</v>
      </c>
      <c r="G66">
        <v>2</v>
      </c>
      <c r="H66" t="s">
        <v>249</v>
      </c>
      <c r="I66" t="s">
        <v>209</v>
      </c>
      <c r="J66" t="s">
        <v>250</v>
      </c>
      <c r="K66" t="s">
        <v>20</v>
      </c>
      <c r="L66" t="s">
        <v>253</v>
      </c>
      <c r="M66" s="3" t="str">
        <f>HYPERLINK("..\..\Imagery\ScannedPhotos\1979\AD79-027.2.jpg")</f>
        <v>..\..\Imagery\ScannedPhotos\1979\AD79-027.2.jpg</v>
      </c>
    </row>
    <row r="67" spans="1:14" x14ac:dyDescent="0.25">
      <c r="A67" t="s">
        <v>254</v>
      </c>
      <c r="B67">
        <v>374811</v>
      </c>
      <c r="C67">
        <v>6117086</v>
      </c>
      <c r="D67">
        <v>21</v>
      </c>
      <c r="E67" t="s">
        <v>15</v>
      </c>
      <c r="F67" t="s">
        <v>255</v>
      </c>
      <c r="G67">
        <v>3</v>
      </c>
      <c r="H67" t="s">
        <v>249</v>
      </c>
      <c r="I67" t="s">
        <v>108</v>
      </c>
      <c r="J67" t="s">
        <v>250</v>
      </c>
      <c r="K67" t="s">
        <v>20</v>
      </c>
      <c r="L67" t="s">
        <v>256</v>
      </c>
      <c r="M67" s="3" t="str">
        <f>HYPERLINK("..\..\Imagery\ScannedPhotos\1979\AD79-034.2.jpg")</f>
        <v>..\..\Imagery\ScannedPhotos\1979\AD79-034.2.jpg</v>
      </c>
    </row>
    <row r="68" spans="1:14" x14ac:dyDescent="0.25">
      <c r="A68" t="s">
        <v>257</v>
      </c>
      <c r="B68">
        <v>317818</v>
      </c>
      <c r="C68">
        <v>5855808</v>
      </c>
      <c r="D68">
        <v>21</v>
      </c>
      <c r="E68" t="s">
        <v>15</v>
      </c>
      <c r="F68" t="s">
        <v>258</v>
      </c>
      <c r="G68">
        <v>1</v>
      </c>
      <c r="H68" t="s">
        <v>259</v>
      </c>
      <c r="I68" t="s">
        <v>52</v>
      </c>
      <c r="J68" t="s">
        <v>260</v>
      </c>
      <c r="K68" t="s">
        <v>20</v>
      </c>
      <c r="L68" t="s">
        <v>261</v>
      </c>
      <c r="M68" s="3" t="str">
        <f>HYPERLINK("..\..\Imagery\ScannedPhotos\1998\CG98-156.jpg")</f>
        <v>..\..\Imagery\ScannedPhotos\1998\CG98-156.jpg</v>
      </c>
    </row>
    <row r="69" spans="1:14" x14ac:dyDescent="0.25">
      <c r="A69" t="s">
        <v>254</v>
      </c>
      <c r="B69">
        <v>374811</v>
      </c>
      <c r="C69">
        <v>6117086</v>
      </c>
      <c r="D69">
        <v>21</v>
      </c>
      <c r="E69" t="s">
        <v>15</v>
      </c>
      <c r="F69" t="s">
        <v>262</v>
      </c>
      <c r="G69">
        <v>3</v>
      </c>
      <c r="H69" t="s">
        <v>249</v>
      </c>
      <c r="I69" t="s">
        <v>132</v>
      </c>
      <c r="J69" t="s">
        <v>250</v>
      </c>
      <c r="K69" t="s">
        <v>20</v>
      </c>
      <c r="L69" t="s">
        <v>263</v>
      </c>
      <c r="M69" s="3" t="str">
        <f>HYPERLINK("..\..\Imagery\ScannedPhotos\1979\AD79-034.3.jpg")</f>
        <v>..\..\Imagery\ScannedPhotos\1979\AD79-034.3.jpg</v>
      </c>
    </row>
    <row r="70" spans="1:14" x14ac:dyDescent="0.25">
      <c r="A70" t="s">
        <v>254</v>
      </c>
      <c r="B70">
        <v>374811</v>
      </c>
      <c r="C70">
        <v>6117086</v>
      </c>
      <c r="D70">
        <v>21</v>
      </c>
      <c r="E70" t="s">
        <v>15</v>
      </c>
      <c r="F70" t="s">
        <v>264</v>
      </c>
      <c r="G70">
        <v>3</v>
      </c>
      <c r="H70" t="s">
        <v>249</v>
      </c>
      <c r="I70" t="s">
        <v>126</v>
      </c>
      <c r="J70" t="s">
        <v>250</v>
      </c>
      <c r="K70" t="s">
        <v>20</v>
      </c>
      <c r="L70" t="s">
        <v>265</v>
      </c>
      <c r="M70" s="3" t="str">
        <f>HYPERLINK("..\..\Imagery\ScannedPhotos\1979\AD79-034.1.jpg")</f>
        <v>..\..\Imagery\ScannedPhotos\1979\AD79-034.1.jpg</v>
      </c>
    </row>
    <row r="71" spans="1:14" x14ac:dyDescent="0.25">
      <c r="A71" t="s">
        <v>266</v>
      </c>
      <c r="B71">
        <v>295163</v>
      </c>
      <c r="C71">
        <v>6042714</v>
      </c>
      <c r="D71">
        <v>21</v>
      </c>
      <c r="E71" t="s">
        <v>15</v>
      </c>
      <c r="F71" t="s">
        <v>267</v>
      </c>
      <c r="G71">
        <v>2</v>
      </c>
      <c r="H71" t="s">
        <v>268</v>
      </c>
      <c r="I71" t="s">
        <v>222</v>
      </c>
      <c r="J71" t="s">
        <v>269</v>
      </c>
      <c r="K71" t="s">
        <v>228</v>
      </c>
      <c r="L71" t="s">
        <v>270</v>
      </c>
      <c r="M71" s="3" t="str">
        <f>HYPERLINK("..\..\Imagery\ScannedPhotos\1983\CG83-502.1.jpg")</f>
        <v>..\..\Imagery\ScannedPhotos\1983\CG83-502.1.jpg</v>
      </c>
      <c r="N71" t="s">
        <v>271</v>
      </c>
    </row>
    <row r="72" spans="1:14" x14ac:dyDescent="0.25">
      <c r="A72" t="s">
        <v>266</v>
      </c>
      <c r="B72">
        <v>295163</v>
      </c>
      <c r="C72">
        <v>6042714</v>
      </c>
      <c r="D72">
        <v>21</v>
      </c>
      <c r="E72" t="s">
        <v>15</v>
      </c>
      <c r="F72" t="s">
        <v>272</v>
      </c>
      <c r="G72">
        <v>1</v>
      </c>
      <c r="H72" t="s">
        <v>268</v>
      </c>
      <c r="I72" t="s">
        <v>108</v>
      </c>
      <c r="J72" t="s">
        <v>269</v>
      </c>
      <c r="K72" t="s">
        <v>228</v>
      </c>
      <c r="L72" t="s">
        <v>273</v>
      </c>
      <c r="M72" s="3" t="str">
        <f>HYPERLINK("..\..\Imagery\ScannedPhotos\1983\CG83-502.2.jpg")</f>
        <v>..\..\Imagery\ScannedPhotos\1983\CG83-502.2.jpg</v>
      </c>
      <c r="N72" t="s">
        <v>271</v>
      </c>
    </row>
    <row r="73" spans="1:14" x14ac:dyDescent="0.25">
      <c r="A73" t="s">
        <v>274</v>
      </c>
      <c r="B73">
        <v>297792</v>
      </c>
      <c r="C73">
        <v>6034980</v>
      </c>
      <c r="D73">
        <v>21</v>
      </c>
      <c r="E73" t="s">
        <v>15</v>
      </c>
      <c r="F73" t="s">
        <v>275</v>
      </c>
      <c r="G73">
        <v>2</v>
      </c>
      <c r="H73" t="s">
        <v>268</v>
      </c>
      <c r="I73" t="s">
        <v>65</v>
      </c>
      <c r="J73" t="s">
        <v>269</v>
      </c>
      <c r="K73" t="s">
        <v>20</v>
      </c>
      <c r="L73" t="s">
        <v>276</v>
      </c>
      <c r="M73" s="3" t="str">
        <f>HYPERLINK("..\..\Imagery\ScannedPhotos\1983\CG83-590.2.jpg")</f>
        <v>..\..\Imagery\ScannedPhotos\1983\CG83-590.2.jpg</v>
      </c>
      <c r="N73" t="s">
        <v>271</v>
      </c>
    </row>
    <row r="74" spans="1:14" x14ac:dyDescent="0.25">
      <c r="A74" t="s">
        <v>277</v>
      </c>
      <c r="B74">
        <v>269753</v>
      </c>
      <c r="C74">
        <v>6003237</v>
      </c>
      <c r="D74">
        <v>21</v>
      </c>
      <c r="E74" t="s">
        <v>15</v>
      </c>
      <c r="F74" t="s">
        <v>278</v>
      </c>
      <c r="G74">
        <v>2</v>
      </c>
      <c r="H74" t="s">
        <v>84</v>
      </c>
      <c r="I74" t="s">
        <v>79</v>
      </c>
      <c r="J74" t="s">
        <v>86</v>
      </c>
      <c r="K74" t="s">
        <v>20</v>
      </c>
      <c r="L74" t="s">
        <v>279</v>
      </c>
      <c r="M74" s="3" t="str">
        <f>HYPERLINK("..\..\Imagery\ScannedPhotos\1983\CG83-602.1.jpg")</f>
        <v>..\..\Imagery\ScannedPhotos\1983\CG83-602.1.jpg</v>
      </c>
      <c r="N74" t="s">
        <v>271</v>
      </c>
    </row>
    <row r="75" spans="1:14" x14ac:dyDescent="0.25">
      <c r="A75" t="s">
        <v>277</v>
      </c>
      <c r="B75">
        <v>269753</v>
      </c>
      <c r="C75">
        <v>6003237</v>
      </c>
      <c r="D75">
        <v>21</v>
      </c>
      <c r="E75" t="s">
        <v>15</v>
      </c>
      <c r="F75" t="s">
        <v>280</v>
      </c>
      <c r="G75">
        <v>2</v>
      </c>
      <c r="H75" t="s">
        <v>84</v>
      </c>
      <c r="I75" t="s">
        <v>281</v>
      </c>
      <c r="J75" t="s">
        <v>86</v>
      </c>
      <c r="K75" t="s">
        <v>20</v>
      </c>
      <c r="L75" t="s">
        <v>282</v>
      </c>
      <c r="M75" s="3" t="str">
        <f>HYPERLINK("..\..\Imagery\ScannedPhotos\1983\CG83-602.2.jpg")</f>
        <v>..\..\Imagery\ScannedPhotos\1983\CG83-602.2.jpg</v>
      </c>
      <c r="N75" t="s">
        <v>271</v>
      </c>
    </row>
    <row r="76" spans="1:14" x14ac:dyDescent="0.25">
      <c r="A76" t="s">
        <v>283</v>
      </c>
      <c r="B76">
        <v>273675</v>
      </c>
      <c r="C76">
        <v>6002010</v>
      </c>
      <c r="D76">
        <v>21</v>
      </c>
      <c r="E76" t="s">
        <v>15</v>
      </c>
      <c r="F76" t="s">
        <v>284</v>
      </c>
      <c r="G76">
        <v>1</v>
      </c>
      <c r="H76" t="s">
        <v>84</v>
      </c>
      <c r="I76" t="s">
        <v>69</v>
      </c>
      <c r="J76" t="s">
        <v>86</v>
      </c>
      <c r="K76" t="s">
        <v>20</v>
      </c>
      <c r="L76" t="s">
        <v>285</v>
      </c>
      <c r="M76" s="3" t="str">
        <f>HYPERLINK("..\..\Imagery\ScannedPhotos\1983\CG83-616.jpg")</f>
        <v>..\..\Imagery\ScannedPhotos\1983\CG83-616.jpg</v>
      </c>
      <c r="N76" t="s">
        <v>271</v>
      </c>
    </row>
    <row r="77" spans="1:14" x14ac:dyDescent="0.25">
      <c r="A77" t="s">
        <v>286</v>
      </c>
      <c r="B77">
        <v>578468</v>
      </c>
      <c r="C77">
        <v>5818299</v>
      </c>
      <c r="D77">
        <v>21</v>
      </c>
      <c r="E77" t="s">
        <v>15</v>
      </c>
      <c r="F77" t="s">
        <v>287</v>
      </c>
      <c r="G77">
        <v>1</v>
      </c>
      <c r="H77" t="s">
        <v>288</v>
      </c>
      <c r="I77" t="s">
        <v>65</v>
      </c>
      <c r="J77" t="s">
        <v>289</v>
      </c>
      <c r="K77" t="s">
        <v>20</v>
      </c>
      <c r="L77" t="s">
        <v>290</v>
      </c>
      <c r="M77" s="3" t="str">
        <f>HYPERLINK("..\..\Imagery\ScannedPhotos\1986\CG86-709.jpg")</f>
        <v>..\..\Imagery\ScannedPhotos\1986\CG86-709.jpg</v>
      </c>
    </row>
    <row r="78" spans="1:14" x14ac:dyDescent="0.25">
      <c r="A78" t="s">
        <v>291</v>
      </c>
      <c r="B78">
        <v>580078</v>
      </c>
      <c r="C78">
        <v>5821673</v>
      </c>
      <c r="D78">
        <v>21</v>
      </c>
      <c r="E78" t="s">
        <v>15</v>
      </c>
      <c r="F78" t="s">
        <v>292</v>
      </c>
      <c r="G78">
        <v>1</v>
      </c>
      <c r="H78" t="s">
        <v>293</v>
      </c>
      <c r="I78" t="s">
        <v>294</v>
      </c>
      <c r="J78" t="s">
        <v>295</v>
      </c>
      <c r="K78" t="s">
        <v>20</v>
      </c>
      <c r="L78" t="s">
        <v>296</v>
      </c>
      <c r="M78" s="3" t="str">
        <f>HYPERLINK("..\..\Imagery\ScannedPhotos\1986\CG86-715.jpg")</f>
        <v>..\..\Imagery\ScannedPhotos\1986\CG86-715.jpg</v>
      </c>
    </row>
    <row r="79" spans="1:14" x14ac:dyDescent="0.25">
      <c r="A79" t="s">
        <v>297</v>
      </c>
      <c r="B79">
        <v>562643</v>
      </c>
      <c r="C79">
        <v>5847302</v>
      </c>
      <c r="D79">
        <v>21</v>
      </c>
      <c r="E79" t="s">
        <v>15</v>
      </c>
      <c r="F79" t="s">
        <v>298</v>
      </c>
      <c r="G79">
        <v>1</v>
      </c>
      <c r="H79" t="s">
        <v>299</v>
      </c>
      <c r="I79" t="s">
        <v>18</v>
      </c>
      <c r="J79" t="s">
        <v>300</v>
      </c>
      <c r="K79" t="s">
        <v>20</v>
      </c>
      <c r="L79" t="s">
        <v>301</v>
      </c>
      <c r="M79" s="3" t="str">
        <f>HYPERLINK("..\..\Imagery\ScannedPhotos\1986\MN86-149.jpg")</f>
        <v>..\..\Imagery\ScannedPhotos\1986\MN86-149.jpg</v>
      </c>
    </row>
    <row r="80" spans="1:14" x14ac:dyDescent="0.25">
      <c r="A80" t="s">
        <v>302</v>
      </c>
      <c r="B80">
        <v>523917</v>
      </c>
      <c r="C80">
        <v>5855348</v>
      </c>
      <c r="D80">
        <v>21</v>
      </c>
      <c r="E80" t="s">
        <v>15</v>
      </c>
      <c r="F80" t="s">
        <v>303</v>
      </c>
      <c r="G80">
        <v>2</v>
      </c>
      <c r="H80" t="s">
        <v>299</v>
      </c>
      <c r="I80" t="s">
        <v>304</v>
      </c>
      <c r="J80" t="s">
        <v>300</v>
      </c>
      <c r="K80" t="s">
        <v>20</v>
      </c>
      <c r="L80" t="s">
        <v>305</v>
      </c>
      <c r="M80" s="3" t="str">
        <f>HYPERLINK("..\..\Imagery\ScannedPhotos\1986\MN86-171.1.jpg")</f>
        <v>..\..\Imagery\ScannedPhotos\1986\MN86-171.1.jpg</v>
      </c>
    </row>
    <row r="81" spans="1:13" x14ac:dyDescent="0.25">
      <c r="A81" t="s">
        <v>306</v>
      </c>
      <c r="B81">
        <v>578679</v>
      </c>
      <c r="C81">
        <v>5790984</v>
      </c>
      <c r="D81">
        <v>21</v>
      </c>
      <c r="E81" t="s">
        <v>15</v>
      </c>
      <c r="F81" t="s">
        <v>307</v>
      </c>
      <c r="G81">
        <v>1</v>
      </c>
      <c r="H81" t="s">
        <v>308</v>
      </c>
      <c r="I81" t="s">
        <v>129</v>
      </c>
      <c r="J81" t="s">
        <v>309</v>
      </c>
      <c r="K81" t="s">
        <v>56</v>
      </c>
      <c r="L81" t="s">
        <v>310</v>
      </c>
      <c r="M81" s="3" t="str">
        <f>HYPERLINK("..\..\Imagery\ScannedPhotos\1987\VN87-115.jpg")</f>
        <v>..\..\Imagery\ScannedPhotos\1987\VN87-115.jpg</v>
      </c>
    </row>
    <row r="82" spans="1:13" x14ac:dyDescent="0.25">
      <c r="A82" t="s">
        <v>311</v>
      </c>
      <c r="B82">
        <v>579348</v>
      </c>
      <c r="C82">
        <v>5793399</v>
      </c>
      <c r="D82">
        <v>21</v>
      </c>
      <c r="E82" t="s">
        <v>15</v>
      </c>
      <c r="F82" t="s">
        <v>312</v>
      </c>
      <c r="G82">
        <v>1</v>
      </c>
      <c r="H82" t="s">
        <v>308</v>
      </c>
      <c r="I82" t="s">
        <v>143</v>
      </c>
      <c r="J82" t="s">
        <v>309</v>
      </c>
      <c r="K82" t="s">
        <v>20</v>
      </c>
      <c r="L82" t="s">
        <v>313</v>
      </c>
      <c r="M82" s="3" t="str">
        <f>HYPERLINK("..\..\Imagery\ScannedPhotos\1987\VN87-121.jpg")</f>
        <v>..\..\Imagery\ScannedPhotos\1987\VN87-121.jpg</v>
      </c>
    </row>
    <row r="83" spans="1:13" x14ac:dyDescent="0.25">
      <c r="A83" t="s">
        <v>314</v>
      </c>
      <c r="B83">
        <v>579312</v>
      </c>
      <c r="C83">
        <v>5793578</v>
      </c>
      <c r="D83">
        <v>21</v>
      </c>
      <c r="E83" t="s">
        <v>15</v>
      </c>
      <c r="F83" t="s">
        <v>315</v>
      </c>
      <c r="G83">
        <v>1</v>
      </c>
      <c r="H83" t="s">
        <v>308</v>
      </c>
      <c r="I83" t="s">
        <v>147</v>
      </c>
      <c r="J83" t="s">
        <v>309</v>
      </c>
      <c r="K83" t="s">
        <v>20</v>
      </c>
      <c r="L83" t="s">
        <v>316</v>
      </c>
      <c r="M83" s="3" t="str">
        <f>HYPERLINK("..\..\Imagery\ScannedPhotos\1987\VN87-122.jpg")</f>
        <v>..\..\Imagery\ScannedPhotos\1987\VN87-122.jpg</v>
      </c>
    </row>
    <row r="84" spans="1:13" x14ac:dyDescent="0.25">
      <c r="A84" t="s">
        <v>317</v>
      </c>
      <c r="B84">
        <v>579261</v>
      </c>
      <c r="C84">
        <v>5795643</v>
      </c>
      <c r="D84">
        <v>21</v>
      </c>
      <c r="E84" t="s">
        <v>15</v>
      </c>
      <c r="F84" t="s">
        <v>318</v>
      </c>
      <c r="G84">
        <v>4</v>
      </c>
      <c r="K84" t="s">
        <v>228</v>
      </c>
      <c r="L84" t="s">
        <v>319</v>
      </c>
      <c r="M84" s="3" t="str">
        <f>HYPERLINK("..\..\Imagery\ScannedPhotos\1987\VN87-127.4.jpg")</f>
        <v>..\..\Imagery\ScannedPhotos\1987\VN87-127.4.jpg</v>
      </c>
    </row>
    <row r="85" spans="1:13" x14ac:dyDescent="0.25">
      <c r="A85" t="s">
        <v>320</v>
      </c>
      <c r="B85">
        <v>481000</v>
      </c>
      <c r="C85">
        <v>5824875</v>
      </c>
      <c r="D85">
        <v>21</v>
      </c>
      <c r="E85" t="s">
        <v>15</v>
      </c>
      <c r="F85" t="s">
        <v>321</v>
      </c>
      <c r="G85">
        <v>6</v>
      </c>
      <c r="H85" t="s">
        <v>40</v>
      </c>
      <c r="I85" t="s">
        <v>122</v>
      </c>
      <c r="J85" t="s">
        <v>42</v>
      </c>
      <c r="K85" t="s">
        <v>56</v>
      </c>
      <c r="L85" t="s">
        <v>322</v>
      </c>
      <c r="M85" s="3" t="str">
        <f>HYPERLINK("..\..\Imagery\ScannedPhotos\1991\DD91-056.2.jpg")</f>
        <v>..\..\Imagery\ScannedPhotos\1991\DD91-056.2.jpg</v>
      </c>
    </row>
    <row r="86" spans="1:13" x14ac:dyDescent="0.25">
      <c r="A86" t="s">
        <v>320</v>
      </c>
      <c r="B86">
        <v>481000</v>
      </c>
      <c r="C86">
        <v>5824875</v>
      </c>
      <c r="D86">
        <v>21</v>
      </c>
      <c r="E86" t="s">
        <v>15</v>
      </c>
      <c r="F86" t="s">
        <v>323</v>
      </c>
      <c r="G86">
        <v>6</v>
      </c>
      <c r="H86" t="s">
        <v>40</v>
      </c>
      <c r="I86" t="s">
        <v>108</v>
      </c>
      <c r="J86" t="s">
        <v>42</v>
      </c>
      <c r="K86" t="s">
        <v>56</v>
      </c>
      <c r="L86" t="s">
        <v>324</v>
      </c>
      <c r="M86" s="3" t="str">
        <f>HYPERLINK("..\..\Imagery\ScannedPhotos\1991\DD91-056.4.jpg")</f>
        <v>..\..\Imagery\ScannedPhotos\1991\DD91-056.4.jpg</v>
      </c>
    </row>
    <row r="87" spans="1:13" x14ac:dyDescent="0.25">
      <c r="A87" t="s">
        <v>320</v>
      </c>
      <c r="B87">
        <v>481000</v>
      </c>
      <c r="C87">
        <v>5824875</v>
      </c>
      <c r="D87">
        <v>21</v>
      </c>
      <c r="E87" t="s">
        <v>15</v>
      </c>
      <c r="F87" t="s">
        <v>325</v>
      </c>
      <c r="G87">
        <v>6</v>
      </c>
      <c r="H87" t="s">
        <v>40</v>
      </c>
      <c r="I87" t="s">
        <v>126</v>
      </c>
      <c r="J87" t="s">
        <v>42</v>
      </c>
      <c r="K87" t="s">
        <v>56</v>
      </c>
      <c r="L87" t="s">
        <v>322</v>
      </c>
      <c r="M87" s="3" t="str">
        <f>HYPERLINK("..\..\Imagery\ScannedPhotos\1991\DD91-056.3.jpg")</f>
        <v>..\..\Imagery\ScannedPhotos\1991\DD91-056.3.jpg</v>
      </c>
    </row>
    <row r="88" spans="1:13" x14ac:dyDescent="0.25">
      <c r="A88" t="s">
        <v>320</v>
      </c>
      <c r="B88">
        <v>481000</v>
      </c>
      <c r="C88">
        <v>5824875</v>
      </c>
      <c r="D88">
        <v>21</v>
      </c>
      <c r="E88" t="s">
        <v>15</v>
      </c>
      <c r="F88" t="s">
        <v>326</v>
      </c>
      <c r="G88">
        <v>6</v>
      </c>
      <c r="H88" t="s">
        <v>40</v>
      </c>
      <c r="I88" t="s">
        <v>119</v>
      </c>
      <c r="J88" t="s">
        <v>42</v>
      </c>
      <c r="K88" t="s">
        <v>56</v>
      </c>
      <c r="L88" t="s">
        <v>324</v>
      </c>
      <c r="M88" s="3" t="str">
        <f>HYPERLINK("..\..\Imagery\ScannedPhotos\1991\DD91-056.1.jpg")</f>
        <v>..\..\Imagery\ScannedPhotos\1991\DD91-056.1.jpg</v>
      </c>
    </row>
    <row r="89" spans="1:13" x14ac:dyDescent="0.25">
      <c r="A89" t="s">
        <v>238</v>
      </c>
      <c r="B89">
        <v>547414</v>
      </c>
      <c r="C89">
        <v>5823482</v>
      </c>
      <c r="D89">
        <v>21</v>
      </c>
      <c r="E89" t="s">
        <v>15</v>
      </c>
      <c r="F89" t="s">
        <v>327</v>
      </c>
      <c r="G89">
        <v>10</v>
      </c>
      <c r="K89" t="s">
        <v>56</v>
      </c>
      <c r="L89" t="s">
        <v>328</v>
      </c>
      <c r="M89" s="3" t="str">
        <f>HYPERLINK("..\..\Imagery\ScannedPhotos\2003\CG03-224.6.jpg")</f>
        <v>..\..\Imagery\ScannedPhotos\2003\CG03-224.6.jpg</v>
      </c>
    </row>
    <row r="90" spans="1:13" x14ac:dyDescent="0.25">
      <c r="A90" t="s">
        <v>238</v>
      </c>
      <c r="B90">
        <v>547414</v>
      </c>
      <c r="C90">
        <v>5823482</v>
      </c>
      <c r="D90">
        <v>21</v>
      </c>
      <c r="E90" t="s">
        <v>15</v>
      </c>
      <c r="F90" t="s">
        <v>329</v>
      </c>
      <c r="G90">
        <v>10</v>
      </c>
      <c r="K90" t="s">
        <v>56</v>
      </c>
      <c r="L90" t="s">
        <v>328</v>
      </c>
      <c r="M90" s="3" t="str">
        <f>HYPERLINK("..\..\Imagery\ScannedPhotos\2003\CG03-224.7.jpg")</f>
        <v>..\..\Imagery\ScannedPhotos\2003\CG03-224.7.jpg</v>
      </c>
    </row>
    <row r="91" spans="1:13" x14ac:dyDescent="0.25">
      <c r="A91" t="s">
        <v>238</v>
      </c>
      <c r="B91">
        <v>547414</v>
      </c>
      <c r="C91">
        <v>5823482</v>
      </c>
      <c r="D91">
        <v>21</v>
      </c>
      <c r="E91" t="s">
        <v>15</v>
      </c>
      <c r="F91" t="s">
        <v>330</v>
      </c>
      <c r="G91">
        <v>10</v>
      </c>
      <c r="K91" t="s">
        <v>56</v>
      </c>
      <c r="L91" t="s">
        <v>331</v>
      </c>
      <c r="M91" s="3" t="str">
        <f>HYPERLINK("..\..\Imagery\ScannedPhotos\2003\CG03-224.8.jpg")</f>
        <v>..\..\Imagery\ScannedPhotos\2003\CG03-224.8.jpg</v>
      </c>
    </row>
    <row r="92" spans="1:13" x14ac:dyDescent="0.25">
      <c r="A92" t="s">
        <v>238</v>
      </c>
      <c r="B92">
        <v>547414</v>
      </c>
      <c r="C92">
        <v>5823482</v>
      </c>
      <c r="D92">
        <v>21</v>
      </c>
      <c r="E92" t="s">
        <v>15</v>
      </c>
      <c r="F92" t="s">
        <v>332</v>
      </c>
      <c r="G92">
        <v>10</v>
      </c>
      <c r="K92" t="s">
        <v>56</v>
      </c>
      <c r="L92" t="s">
        <v>240</v>
      </c>
      <c r="M92" s="3" t="str">
        <f>HYPERLINK("..\..\Imagery\ScannedPhotos\2003\CG03-224.9.jpg")</f>
        <v>..\..\Imagery\ScannedPhotos\2003\CG03-224.9.jpg</v>
      </c>
    </row>
    <row r="93" spans="1:13" x14ac:dyDescent="0.25">
      <c r="A93" t="s">
        <v>238</v>
      </c>
      <c r="B93">
        <v>547414</v>
      </c>
      <c r="C93">
        <v>5823482</v>
      </c>
      <c r="D93">
        <v>21</v>
      </c>
      <c r="E93" t="s">
        <v>15</v>
      </c>
      <c r="F93" t="s">
        <v>333</v>
      </c>
      <c r="G93">
        <v>10</v>
      </c>
      <c r="K93" t="s">
        <v>56</v>
      </c>
      <c r="L93" t="s">
        <v>334</v>
      </c>
      <c r="M93" s="3" t="str">
        <f>HYPERLINK("..\..\Imagery\ScannedPhotos\2003\CG03-224.10.jpg")</f>
        <v>..\..\Imagery\ScannedPhotos\2003\CG03-224.10.jpg</v>
      </c>
    </row>
    <row r="94" spans="1:13" x14ac:dyDescent="0.25">
      <c r="A94" t="s">
        <v>335</v>
      </c>
      <c r="B94">
        <v>538232</v>
      </c>
      <c r="C94">
        <v>5829204</v>
      </c>
      <c r="D94">
        <v>21</v>
      </c>
      <c r="E94" t="s">
        <v>15</v>
      </c>
      <c r="F94" t="s">
        <v>336</v>
      </c>
      <c r="G94">
        <v>9</v>
      </c>
      <c r="K94" t="s">
        <v>56</v>
      </c>
      <c r="L94" t="s">
        <v>337</v>
      </c>
      <c r="M94" s="3" t="str">
        <f>HYPERLINK("..\..\Imagery\ScannedPhotos\2004\CG04-141.4.jpg")</f>
        <v>..\..\Imagery\ScannedPhotos\2004\CG04-141.4.jpg</v>
      </c>
    </row>
    <row r="95" spans="1:13" x14ac:dyDescent="0.25">
      <c r="A95" t="s">
        <v>335</v>
      </c>
      <c r="B95">
        <v>538232</v>
      </c>
      <c r="C95">
        <v>5829204</v>
      </c>
      <c r="D95">
        <v>21</v>
      </c>
      <c r="E95" t="s">
        <v>15</v>
      </c>
      <c r="F95" t="s">
        <v>338</v>
      </c>
      <c r="G95">
        <v>9</v>
      </c>
      <c r="K95" t="s">
        <v>56</v>
      </c>
      <c r="L95" t="s">
        <v>337</v>
      </c>
      <c r="M95" s="3" t="str">
        <f>HYPERLINK("..\..\Imagery\ScannedPhotos\2004\CG04-141.5.jpg")</f>
        <v>..\..\Imagery\ScannedPhotos\2004\CG04-141.5.jpg</v>
      </c>
    </row>
    <row r="96" spans="1:13" x14ac:dyDescent="0.25">
      <c r="A96" t="s">
        <v>335</v>
      </c>
      <c r="B96">
        <v>538232</v>
      </c>
      <c r="C96">
        <v>5829204</v>
      </c>
      <c r="D96">
        <v>21</v>
      </c>
      <c r="E96" t="s">
        <v>15</v>
      </c>
      <c r="F96" t="s">
        <v>339</v>
      </c>
      <c r="G96">
        <v>9</v>
      </c>
      <c r="K96" t="s">
        <v>56</v>
      </c>
      <c r="L96" t="s">
        <v>337</v>
      </c>
      <c r="M96" s="3" t="str">
        <f>HYPERLINK("..\..\Imagery\ScannedPhotos\2004\CG04-141.6.jpg")</f>
        <v>..\..\Imagery\ScannedPhotos\2004\CG04-141.6.jpg</v>
      </c>
    </row>
    <row r="97" spans="1:13" x14ac:dyDescent="0.25">
      <c r="A97" t="s">
        <v>335</v>
      </c>
      <c r="B97">
        <v>538232</v>
      </c>
      <c r="C97">
        <v>5829204</v>
      </c>
      <c r="D97">
        <v>21</v>
      </c>
      <c r="E97" t="s">
        <v>15</v>
      </c>
      <c r="F97" t="s">
        <v>340</v>
      </c>
      <c r="G97">
        <v>9</v>
      </c>
      <c r="K97" t="s">
        <v>56</v>
      </c>
      <c r="L97" t="s">
        <v>337</v>
      </c>
      <c r="M97" s="3" t="str">
        <f>HYPERLINK("..\..\Imagery\ScannedPhotos\2004\CG04-141.7.jpg")</f>
        <v>..\..\Imagery\ScannedPhotos\2004\CG04-141.7.jpg</v>
      </c>
    </row>
    <row r="98" spans="1:13" x14ac:dyDescent="0.25">
      <c r="A98" t="s">
        <v>335</v>
      </c>
      <c r="B98">
        <v>538232</v>
      </c>
      <c r="C98">
        <v>5829204</v>
      </c>
      <c r="D98">
        <v>21</v>
      </c>
      <c r="E98" t="s">
        <v>15</v>
      </c>
      <c r="F98" t="s">
        <v>341</v>
      </c>
      <c r="G98">
        <v>9</v>
      </c>
      <c r="K98" t="s">
        <v>56</v>
      </c>
      <c r="L98" t="s">
        <v>337</v>
      </c>
      <c r="M98" s="3" t="str">
        <f>HYPERLINK("..\..\Imagery\ScannedPhotos\2004\CG04-141.8.jpg")</f>
        <v>..\..\Imagery\ScannedPhotos\2004\CG04-141.8.jpg</v>
      </c>
    </row>
    <row r="99" spans="1:13" x14ac:dyDescent="0.25">
      <c r="A99" t="s">
        <v>335</v>
      </c>
      <c r="B99">
        <v>538232</v>
      </c>
      <c r="C99">
        <v>5829204</v>
      </c>
      <c r="D99">
        <v>21</v>
      </c>
      <c r="E99" t="s">
        <v>15</v>
      </c>
      <c r="F99" t="s">
        <v>342</v>
      </c>
      <c r="G99">
        <v>9</v>
      </c>
      <c r="K99" t="s">
        <v>56</v>
      </c>
      <c r="L99" t="s">
        <v>337</v>
      </c>
      <c r="M99" s="3" t="str">
        <f>HYPERLINK("..\..\Imagery\ScannedPhotos\2004\CG04-141.9.jpg")</f>
        <v>..\..\Imagery\ScannedPhotos\2004\CG04-141.9.jpg</v>
      </c>
    </row>
    <row r="100" spans="1:13" x14ac:dyDescent="0.25">
      <c r="A100" t="s">
        <v>343</v>
      </c>
      <c r="B100">
        <v>501252</v>
      </c>
      <c r="C100">
        <v>5943268</v>
      </c>
      <c r="D100">
        <v>21</v>
      </c>
      <c r="E100" t="s">
        <v>15</v>
      </c>
      <c r="F100" t="s">
        <v>344</v>
      </c>
      <c r="G100">
        <v>2</v>
      </c>
      <c r="K100" t="s">
        <v>56</v>
      </c>
      <c r="L100" t="s">
        <v>345</v>
      </c>
      <c r="M100" s="3" t="str">
        <f>HYPERLINK("..\..\Imagery\ScannedPhotos\2003\CG03-238.1.jpg")</f>
        <v>..\..\Imagery\ScannedPhotos\2003\CG03-238.1.jpg</v>
      </c>
    </row>
    <row r="101" spans="1:13" x14ac:dyDescent="0.25">
      <c r="A101" t="s">
        <v>346</v>
      </c>
      <c r="B101">
        <v>377721</v>
      </c>
      <c r="C101">
        <v>6103880</v>
      </c>
      <c r="D101">
        <v>21</v>
      </c>
      <c r="E101" t="s">
        <v>15</v>
      </c>
      <c r="F101" t="s">
        <v>347</v>
      </c>
      <c r="G101">
        <v>5</v>
      </c>
      <c r="H101" t="s">
        <v>249</v>
      </c>
      <c r="I101" t="s">
        <v>18</v>
      </c>
      <c r="J101" t="s">
        <v>250</v>
      </c>
      <c r="K101" t="s">
        <v>20</v>
      </c>
      <c r="L101" t="s">
        <v>348</v>
      </c>
      <c r="M101" s="3" t="str">
        <f>HYPERLINK("..\..\Imagery\ScannedPhotos\1979\AD79-024.4.jpg")</f>
        <v>..\..\Imagery\ScannedPhotos\1979\AD79-024.4.jpg</v>
      </c>
    </row>
    <row r="102" spans="1:13" x14ac:dyDescent="0.25">
      <c r="A102" t="s">
        <v>349</v>
      </c>
      <c r="B102">
        <v>378449</v>
      </c>
      <c r="C102">
        <v>6104372</v>
      </c>
      <c r="D102">
        <v>21</v>
      </c>
      <c r="E102" t="s">
        <v>15</v>
      </c>
      <c r="F102" t="s">
        <v>350</v>
      </c>
      <c r="G102">
        <v>2</v>
      </c>
      <c r="H102" t="s">
        <v>249</v>
      </c>
      <c r="I102" t="s">
        <v>74</v>
      </c>
      <c r="J102" t="s">
        <v>250</v>
      </c>
      <c r="K102" t="s">
        <v>56</v>
      </c>
      <c r="L102" t="s">
        <v>351</v>
      </c>
      <c r="M102" s="3" t="str">
        <f>HYPERLINK("..\..\Imagery\ScannedPhotos\1979\AD79-025.2.jpg")</f>
        <v>..\..\Imagery\ScannedPhotos\1979\AD79-025.2.jpg</v>
      </c>
    </row>
    <row r="103" spans="1:13" x14ac:dyDescent="0.25">
      <c r="A103" t="s">
        <v>352</v>
      </c>
      <c r="B103">
        <v>384182</v>
      </c>
      <c r="C103">
        <v>6111698</v>
      </c>
      <c r="D103">
        <v>21</v>
      </c>
      <c r="E103" t="s">
        <v>15</v>
      </c>
      <c r="F103" t="s">
        <v>353</v>
      </c>
      <c r="G103">
        <v>2</v>
      </c>
      <c r="H103" t="s">
        <v>354</v>
      </c>
      <c r="I103" t="s">
        <v>217</v>
      </c>
      <c r="J103" t="s">
        <v>355</v>
      </c>
      <c r="K103" t="s">
        <v>20</v>
      </c>
      <c r="L103" t="s">
        <v>356</v>
      </c>
      <c r="M103" s="3" t="str">
        <f>HYPERLINK("..\..\Imagery\ScannedPhotos\1979\AD79-053.1.jpg")</f>
        <v>..\..\Imagery\ScannedPhotos\1979\AD79-053.1.jpg</v>
      </c>
    </row>
    <row r="104" spans="1:13" x14ac:dyDescent="0.25">
      <c r="A104" t="s">
        <v>352</v>
      </c>
      <c r="B104">
        <v>384182</v>
      </c>
      <c r="C104">
        <v>6111698</v>
      </c>
      <c r="D104">
        <v>21</v>
      </c>
      <c r="E104" t="s">
        <v>15</v>
      </c>
      <c r="F104" t="s">
        <v>357</v>
      </c>
      <c r="G104">
        <v>2</v>
      </c>
      <c r="H104" t="s">
        <v>354</v>
      </c>
      <c r="I104" t="s">
        <v>214</v>
      </c>
      <c r="J104" t="s">
        <v>355</v>
      </c>
      <c r="K104" t="s">
        <v>20</v>
      </c>
      <c r="L104" t="s">
        <v>356</v>
      </c>
      <c r="M104" s="3" t="str">
        <f>HYPERLINK("..\..\Imagery\ScannedPhotos\1979\AD79-053.2.jpg")</f>
        <v>..\..\Imagery\ScannedPhotos\1979\AD79-053.2.jpg</v>
      </c>
    </row>
    <row r="105" spans="1:13" x14ac:dyDescent="0.25">
      <c r="A105" t="s">
        <v>358</v>
      </c>
      <c r="B105">
        <v>386780</v>
      </c>
      <c r="C105">
        <v>6111664</v>
      </c>
      <c r="D105">
        <v>21</v>
      </c>
      <c r="E105" t="s">
        <v>15</v>
      </c>
      <c r="F105" t="s">
        <v>359</v>
      </c>
      <c r="G105">
        <v>1</v>
      </c>
      <c r="H105" t="s">
        <v>354</v>
      </c>
      <c r="I105" t="s">
        <v>360</v>
      </c>
      <c r="J105" t="s">
        <v>355</v>
      </c>
      <c r="K105" t="s">
        <v>20</v>
      </c>
      <c r="L105" t="s">
        <v>361</v>
      </c>
      <c r="M105" s="3" t="str">
        <f>HYPERLINK("..\..\Imagery\ScannedPhotos\1979\AD79-054.jpg")</f>
        <v>..\..\Imagery\ScannedPhotos\1979\AD79-054.jpg</v>
      </c>
    </row>
    <row r="106" spans="1:13" x14ac:dyDescent="0.25">
      <c r="A106" t="s">
        <v>362</v>
      </c>
      <c r="B106">
        <v>386221</v>
      </c>
      <c r="C106">
        <v>6114947</v>
      </c>
      <c r="D106">
        <v>21</v>
      </c>
      <c r="E106" t="s">
        <v>15</v>
      </c>
      <c r="F106" t="s">
        <v>363</v>
      </c>
      <c r="G106">
        <v>2</v>
      </c>
      <c r="H106" t="s">
        <v>354</v>
      </c>
      <c r="I106" t="s">
        <v>119</v>
      </c>
      <c r="J106" t="s">
        <v>355</v>
      </c>
      <c r="K106" t="s">
        <v>20</v>
      </c>
      <c r="L106" t="s">
        <v>364</v>
      </c>
      <c r="M106" s="3" t="str">
        <f>HYPERLINK("..\..\Imagery\ScannedPhotos\1979\AD79-058.2.jpg")</f>
        <v>..\..\Imagery\ScannedPhotos\1979\AD79-058.2.jpg</v>
      </c>
    </row>
    <row r="107" spans="1:13" x14ac:dyDescent="0.25">
      <c r="A107" t="s">
        <v>365</v>
      </c>
      <c r="B107">
        <v>383988</v>
      </c>
      <c r="C107">
        <v>6111090</v>
      </c>
      <c r="D107">
        <v>21</v>
      </c>
      <c r="E107" t="s">
        <v>15</v>
      </c>
      <c r="F107" t="s">
        <v>366</v>
      </c>
      <c r="G107">
        <v>1</v>
      </c>
      <c r="H107" t="s">
        <v>354</v>
      </c>
      <c r="I107" t="s">
        <v>367</v>
      </c>
      <c r="J107" t="s">
        <v>355</v>
      </c>
      <c r="K107" t="s">
        <v>20</v>
      </c>
      <c r="L107" t="s">
        <v>368</v>
      </c>
      <c r="M107" s="3" t="str">
        <f>HYPERLINK("..\..\Imagery\ScannedPhotos\1979\AD79-059.jpg")</f>
        <v>..\..\Imagery\ScannedPhotos\1979\AD79-059.jpg</v>
      </c>
    </row>
    <row r="108" spans="1:13" x14ac:dyDescent="0.25">
      <c r="A108" t="s">
        <v>369</v>
      </c>
      <c r="B108">
        <v>384053</v>
      </c>
      <c r="C108">
        <v>6110779</v>
      </c>
      <c r="D108">
        <v>21</v>
      </c>
      <c r="E108" t="s">
        <v>15</v>
      </c>
      <c r="F108" t="s">
        <v>370</v>
      </c>
      <c r="G108">
        <v>1</v>
      </c>
      <c r="H108" t="s">
        <v>371</v>
      </c>
      <c r="I108" t="s">
        <v>281</v>
      </c>
      <c r="J108" t="s">
        <v>355</v>
      </c>
      <c r="K108" t="s">
        <v>20</v>
      </c>
      <c r="L108" t="s">
        <v>372</v>
      </c>
      <c r="M108" s="3" t="str">
        <f>HYPERLINK("..\..\Imagery\ScannedPhotos\1979\AD79-060.jpg")</f>
        <v>..\..\Imagery\ScannedPhotos\1979\AD79-060.jpg</v>
      </c>
    </row>
    <row r="109" spans="1:13" x14ac:dyDescent="0.25">
      <c r="A109" t="s">
        <v>373</v>
      </c>
      <c r="B109">
        <v>386690</v>
      </c>
      <c r="C109">
        <v>6115978</v>
      </c>
      <c r="D109">
        <v>21</v>
      </c>
      <c r="E109" t="s">
        <v>15</v>
      </c>
      <c r="F109" t="s">
        <v>374</v>
      </c>
      <c r="G109">
        <v>3</v>
      </c>
      <c r="H109" t="s">
        <v>371</v>
      </c>
      <c r="I109" t="s">
        <v>375</v>
      </c>
      <c r="J109" t="s">
        <v>355</v>
      </c>
      <c r="K109" t="s">
        <v>20</v>
      </c>
      <c r="L109" t="s">
        <v>376</v>
      </c>
      <c r="M109" s="3" t="str">
        <f>HYPERLINK("..\..\Imagery\ScannedPhotos\1979\AD79-066.3.jpg")</f>
        <v>..\..\Imagery\ScannedPhotos\1979\AD79-066.3.jpg</v>
      </c>
    </row>
    <row r="110" spans="1:13" x14ac:dyDescent="0.25">
      <c r="A110" t="s">
        <v>373</v>
      </c>
      <c r="B110">
        <v>386690</v>
      </c>
      <c r="C110">
        <v>6115978</v>
      </c>
      <c r="D110">
        <v>21</v>
      </c>
      <c r="E110" t="s">
        <v>15</v>
      </c>
      <c r="F110" t="s">
        <v>377</v>
      </c>
      <c r="G110">
        <v>3</v>
      </c>
      <c r="H110" t="s">
        <v>371</v>
      </c>
      <c r="I110" t="s">
        <v>85</v>
      </c>
      <c r="J110" t="s">
        <v>355</v>
      </c>
      <c r="K110" t="s">
        <v>20</v>
      </c>
      <c r="L110" t="s">
        <v>378</v>
      </c>
      <c r="M110" s="3" t="str">
        <f>HYPERLINK("..\..\Imagery\ScannedPhotos\1979\AD79-066.2.jpg")</f>
        <v>..\..\Imagery\ScannedPhotos\1979\AD79-066.2.jpg</v>
      </c>
    </row>
    <row r="111" spans="1:13" x14ac:dyDescent="0.25">
      <c r="A111" t="s">
        <v>373</v>
      </c>
      <c r="B111">
        <v>386690</v>
      </c>
      <c r="C111">
        <v>6115978</v>
      </c>
      <c r="D111">
        <v>21</v>
      </c>
      <c r="E111" t="s">
        <v>15</v>
      </c>
      <c r="F111" t="s">
        <v>379</v>
      </c>
      <c r="G111">
        <v>3</v>
      </c>
      <c r="H111" t="s">
        <v>371</v>
      </c>
      <c r="I111" t="s">
        <v>41</v>
      </c>
      <c r="J111" t="s">
        <v>355</v>
      </c>
      <c r="K111" t="s">
        <v>20</v>
      </c>
      <c r="L111" t="s">
        <v>380</v>
      </c>
      <c r="M111" s="3" t="str">
        <f>HYPERLINK("..\..\Imagery\ScannedPhotos\1979\AD79-066.1.jpg")</f>
        <v>..\..\Imagery\ScannedPhotos\1979\AD79-066.1.jpg</v>
      </c>
    </row>
    <row r="112" spans="1:13" x14ac:dyDescent="0.25">
      <c r="A112" t="s">
        <v>381</v>
      </c>
      <c r="B112">
        <v>387132</v>
      </c>
      <c r="C112">
        <v>6117782</v>
      </c>
      <c r="D112">
        <v>21</v>
      </c>
      <c r="E112" t="s">
        <v>15</v>
      </c>
      <c r="F112" t="s">
        <v>382</v>
      </c>
      <c r="G112">
        <v>1</v>
      </c>
      <c r="H112" t="s">
        <v>371</v>
      </c>
      <c r="I112" t="s">
        <v>94</v>
      </c>
      <c r="J112" t="s">
        <v>355</v>
      </c>
      <c r="K112" t="s">
        <v>20</v>
      </c>
      <c r="L112" t="s">
        <v>383</v>
      </c>
      <c r="M112" s="3" t="str">
        <f>HYPERLINK("..\..\Imagery\ScannedPhotos\1979\AD79-068.jpg")</f>
        <v>..\..\Imagery\ScannedPhotos\1979\AD79-068.jpg</v>
      </c>
    </row>
    <row r="113" spans="1:13" x14ac:dyDescent="0.25">
      <c r="A113" t="s">
        <v>384</v>
      </c>
      <c r="B113">
        <v>387430</v>
      </c>
      <c r="C113">
        <v>6118306</v>
      </c>
      <c r="D113">
        <v>21</v>
      </c>
      <c r="E113" t="s">
        <v>15</v>
      </c>
      <c r="F113" t="s">
        <v>385</v>
      </c>
      <c r="G113">
        <v>1</v>
      </c>
      <c r="H113" t="s">
        <v>371</v>
      </c>
      <c r="I113" t="s">
        <v>386</v>
      </c>
      <c r="J113" t="s">
        <v>355</v>
      </c>
      <c r="K113" t="s">
        <v>20</v>
      </c>
      <c r="L113" t="s">
        <v>387</v>
      </c>
      <c r="M113" s="3" t="str">
        <f>HYPERLINK("..\..\Imagery\ScannedPhotos\1979\AD79-069.jpg")</f>
        <v>..\..\Imagery\ScannedPhotos\1979\AD79-069.jpg</v>
      </c>
    </row>
    <row r="114" spans="1:13" x14ac:dyDescent="0.25">
      <c r="A114" t="s">
        <v>388</v>
      </c>
      <c r="B114">
        <v>387687</v>
      </c>
      <c r="C114">
        <v>6116468</v>
      </c>
      <c r="D114">
        <v>21</v>
      </c>
      <c r="E114" t="s">
        <v>15</v>
      </c>
      <c r="F114" t="s">
        <v>389</v>
      </c>
      <c r="G114">
        <v>1</v>
      </c>
      <c r="H114" t="s">
        <v>371</v>
      </c>
      <c r="I114" t="s">
        <v>217</v>
      </c>
      <c r="J114" t="s">
        <v>355</v>
      </c>
      <c r="K114" t="s">
        <v>20</v>
      </c>
      <c r="L114" t="s">
        <v>390</v>
      </c>
      <c r="M114" s="3" t="str">
        <f>HYPERLINK("..\..\Imagery\ScannedPhotos\1979\AD79-071.jpg")</f>
        <v>..\..\Imagery\ScannedPhotos\1979\AD79-071.jpg</v>
      </c>
    </row>
    <row r="115" spans="1:13" x14ac:dyDescent="0.25">
      <c r="A115" t="s">
        <v>206</v>
      </c>
      <c r="B115">
        <v>391140</v>
      </c>
      <c r="C115">
        <v>6089425</v>
      </c>
      <c r="D115">
        <v>21</v>
      </c>
      <c r="E115" t="s">
        <v>15</v>
      </c>
      <c r="F115" t="s">
        <v>391</v>
      </c>
      <c r="G115">
        <v>2</v>
      </c>
      <c r="H115" t="s">
        <v>208</v>
      </c>
      <c r="I115" t="s">
        <v>94</v>
      </c>
      <c r="J115" t="s">
        <v>210</v>
      </c>
      <c r="K115" t="s">
        <v>20</v>
      </c>
      <c r="L115" t="s">
        <v>392</v>
      </c>
      <c r="M115" s="3" t="str">
        <f>HYPERLINK("..\..\Imagery\ScannedPhotos\1979\AD79-078.1.jpg")</f>
        <v>..\..\Imagery\ScannedPhotos\1979\AD79-078.1.jpg</v>
      </c>
    </row>
    <row r="116" spans="1:13" x14ac:dyDescent="0.25">
      <c r="A116" t="s">
        <v>393</v>
      </c>
      <c r="B116">
        <v>488225</v>
      </c>
      <c r="C116">
        <v>5835625</v>
      </c>
      <c r="D116">
        <v>21</v>
      </c>
      <c r="E116" t="s">
        <v>15</v>
      </c>
      <c r="F116" t="s">
        <v>394</v>
      </c>
      <c r="G116">
        <v>1</v>
      </c>
      <c r="H116" t="s">
        <v>40</v>
      </c>
      <c r="I116" t="s">
        <v>143</v>
      </c>
      <c r="J116" t="s">
        <v>42</v>
      </c>
      <c r="K116" t="s">
        <v>20</v>
      </c>
      <c r="L116" t="s">
        <v>322</v>
      </c>
      <c r="M116" s="3" t="str">
        <f>HYPERLINK("..\..\Imagery\ScannedPhotos\1991\DD91-059.jpg")</f>
        <v>..\..\Imagery\ScannedPhotos\1991\DD91-059.jpg</v>
      </c>
    </row>
    <row r="117" spans="1:13" x14ac:dyDescent="0.25">
      <c r="A117" t="s">
        <v>395</v>
      </c>
      <c r="B117">
        <v>486475</v>
      </c>
      <c r="C117">
        <v>5832550</v>
      </c>
      <c r="D117">
        <v>21</v>
      </c>
      <c r="E117" t="s">
        <v>15</v>
      </c>
      <c r="F117" t="s">
        <v>396</v>
      </c>
      <c r="G117">
        <v>2</v>
      </c>
      <c r="H117" t="s">
        <v>40</v>
      </c>
      <c r="I117" t="s">
        <v>147</v>
      </c>
      <c r="J117" t="s">
        <v>42</v>
      </c>
      <c r="K117" t="s">
        <v>20</v>
      </c>
      <c r="L117" t="s">
        <v>397</v>
      </c>
      <c r="M117" s="3" t="str">
        <f>HYPERLINK("..\..\Imagery\ScannedPhotos\1991\DD91-064.1.jpg")</f>
        <v>..\..\Imagery\ScannedPhotos\1991\DD91-064.1.jpg</v>
      </c>
    </row>
    <row r="118" spans="1:13" x14ac:dyDescent="0.25">
      <c r="A118" t="s">
        <v>395</v>
      </c>
      <c r="B118">
        <v>486475</v>
      </c>
      <c r="C118">
        <v>5832550</v>
      </c>
      <c r="D118">
        <v>21</v>
      </c>
      <c r="E118" t="s">
        <v>15</v>
      </c>
      <c r="F118" t="s">
        <v>398</v>
      </c>
      <c r="G118">
        <v>2</v>
      </c>
      <c r="H118" t="s">
        <v>40</v>
      </c>
      <c r="I118" t="s">
        <v>47</v>
      </c>
      <c r="J118" t="s">
        <v>42</v>
      </c>
      <c r="K118" t="s">
        <v>20</v>
      </c>
      <c r="L118" t="s">
        <v>397</v>
      </c>
      <c r="M118" s="3" t="str">
        <f>HYPERLINK("..\..\Imagery\ScannedPhotos\1991\DD91-064.2.jpg")</f>
        <v>..\..\Imagery\ScannedPhotos\1991\DD91-064.2.jpg</v>
      </c>
    </row>
    <row r="119" spans="1:13" x14ac:dyDescent="0.25">
      <c r="A119" t="s">
        <v>399</v>
      </c>
      <c r="B119">
        <v>485346</v>
      </c>
      <c r="C119">
        <v>5830658</v>
      </c>
      <c r="D119">
        <v>21</v>
      </c>
      <c r="E119" t="s">
        <v>15</v>
      </c>
      <c r="F119" t="s">
        <v>400</v>
      </c>
      <c r="G119">
        <v>3</v>
      </c>
      <c r="H119" t="s">
        <v>40</v>
      </c>
      <c r="I119" t="s">
        <v>401</v>
      </c>
      <c r="J119" t="s">
        <v>42</v>
      </c>
      <c r="K119" t="s">
        <v>20</v>
      </c>
      <c r="L119" t="s">
        <v>402</v>
      </c>
      <c r="M119" s="3" t="str">
        <f>HYPERLINK("..\..\Imagery\ScannedPhotos\1991\DD91-067.3.jpg")</f>
        <v>..\..\Imagery\ScannedPhotos\1991\DD91-067.3.jpg</v>
      </c>
    </row>
    <row r="120" spans="1:13" x14ac:dyDescent="0.25">
      <c r="A120" t="s">
        <v>399</v>
      </c>
      <c r="B120">
        <v>485346</v>
      </c>
      <c r="C120">
        <v>5830658</v>
      </c>
      <c r="D120">
        <v>21</v>
      </c>
      <c r="E120" t="s">
        <v>15</v>
      </c>
      <c r="F120" t="s">
        <v>403</v>
      </c>
      <c r="G120">
        <v>3</v>
      </c>
      <c r="H120" t="s">
        <v>40</v>
      </c>
      <c r="I120" t="s">
        <v>65</v>
      </c>
      <c r="J120" t="s">
        <v>42</v>
      </c>
      <c r="K120" t="s">
        <v>20</v>
      </c>
      <c r="L120" t="s">
        <v>402</v>
      </c>
      <c r="M120" s="3" t="str">
        <f>HYPERLINK("..\..\Imagery\ScannedPhotos\1991\DD91-067.2.jpg")</f>
        <v>..\..\Imagery\ScannedPhotos\1991\DD91-067.2.jpg</v>
      </c>
    </row>
    <row r="121" spans="1:13" x14ac:dyDescent="0.25">
      <c r="A121" t="s">
        <v>399</v>
      </c>
      <c r="B121">
        <v>485346</v>
      </c>
      <c r="C121">
        <v>5830658</v>
      </c>
      <c r="D121">
        <v>21</v>
      </c>
      <c r="E121" t="s">
        <v>15</v>
      </c>
      <c r="F121" t="s">
        <v>404</v>
      </c>
      <c r="G121">
        <v>3</v>
      </c>
      <c r="H121" t="s">
        <v>40</v>
      </c>
      <c r="I121" t="s">
        <v>52</v>
      </c>
      <c r="J121" t="s">
        <v>42</v>
      </c>
      <c r="K121" t="s">
        <v>20</v>
      </c>
      <c r="L121" t="s">
        <v>402</v>
      </c>
      <c r="M121" s="3" t="str">
        <f>HYPERLINK("..\..\Imagery\ScannedPhotos\1991\DD91-067.1.jpg")</f>
        <v>..\..\Imagery\ScannedPhotos\1991\DD91-067.1.jpg</v>
      </c>
    </row>
    <row r="122" spans="1:13" x14ac:dyDescent="0.25">
      <c r="A122" t="s">
        <v>405</v>
      </c>
      <c r="B122">
        <v>485075</v>
      </c>
      <c r="C122">
        <v>5829125</v>
      </c>
      <c r="D122">
        <v>21</v>
      </c>
      <c r="E122" t="s">
        <v>15</v>
      </c>
      <c r="F122" t="s">
        <v>406</v>
      </c>
      <c r="G122">
        <v>2</v>
      </c>
      <c r="H122" t="s">
        <v>40</v>
      </c>
      <c r="I122" t="s">
        <v>367</v>
      </c>
      <c r="J122" t="s">
        <v>42</v>
      </c>
      <c r="K122" t="s">
        <v>56</v>
      </c>
      <c r="L122" t="s">
        <v>407</v>
      </c>
      <c r="M122" s="3" t="str">
        <f>HYPERLINK("..\..\Imagery\ScannedPhotos\1991\DD91-068.2.jpg")</f>
        <v>..\..\Imagery\ScannedPhotos\1991\DD91-068.2.jpg</v>
      </c>
    </row>
    <row r="123" spans="1:13" x14ac:dyDescent="0.25">
      <c r="A123" t="s">
        <v>405</v>
      </c>
      <c r="B123">
        <v>485075</v>
      </c>
      <c r="C123">
        <v>5829125</v>
      </c>
      <c r="D123">
        <v>21</v>
      </c>
      <c r="E123" t="s">
        <v>15</v>
      </c>
      <c r="F123" t="s">
        <v>408</v>
      </c>
      <c r="G123">
        <v>2</v>
      </c>
      <c r="H123" t="s">
        <v>40</v>
      </c>
      <c r="I123" t="s">
        <v>409</v>
      </c>
      <c r="J123" t="s">
        <v>42</v>
      </c>
      <c r="K123" t="s">
        <v>20</v>
      </c>
      <c r="L123" t="s">
        <v>407</v>
      </c>
      <c r="M123" s="3" t="str">
        <f>HYPERLINK("..\..\Imagery\ScannedPhotos\1991\DD91-068.1.jpg")</f>
        <v>..\..\Imagery\ScannedPhotos\1991\DD91-068.1.jpg</v>
      </c>
    </row>
    <row r="124" spans="1:13" x14ac:dyDescent="0.25">
      <c r="A124" t="s">
        <v>410</v>
      </c>
      <c r="B124">
        <v>480466</v>
      </c>
      <c r="C124">
        <v>5833935</v>
      </c>
      <c r="D124">
        <v>21</v>
      </c>
      <c r="E124" t="s">
        <v>15</v>
      </c>
      <c r="F124" t="s">
        <v>411</v>
      </c>
      <c r="G124">
        <v>2</v>
      </c>
      <c r="H124" t="s">
        <v>412</v>
      </c>
      <c r="I124" t="s">
        <v>79</v>
      </c>
      <c r="J124" t="s">
        <v>413</v>
      </c>
      <c r="K124" t="s">
        <v>20</v>
      </c>
      <c r="L124" t="s">
        <v>414</v>
      </c>
      <c r="M124" s="3" t="str">
        <f>HYPERLINK("..\..\Imagery\ScannedPhotos\1991\DD91-072.2.jpg")</f>
        <v>..\..\Imagery\ScannedPhotos\1991\DD91-072.2.jpg</v>
      </c>
    </row>
    <row r="125" spans="1:13" x14ac:dyDescent="0.25">
      <c r="A125" t="s">
        <v>410</v>
      </c>
      <c r="B125">
        <v>480466</v>
      </c>
      <c r="C125">
        <v>5833935</v>
      </c>
      <c r="D125">
        <v>21</v>
      </c>
      <c r="E125" t="s">
        <v>15</v>
      </c>
      <c r="F125" t="s">
        <v>415</v>
      </c>
      <c r="G125">
        <v>2</v>
      </c>
      <c r="H125" t="s">
        <v>412</v>
      </c>
      <c r="I125" t="s">
        <v>294</v>
      </c>
      <c r="J125" t="s">
        <v>413</v>
      </c>
      <c r="K125" t="s">
        <v>56</v>
      </c>
      <c r="L125" t="s">
        <v>414</v>
      </c>
      <c r="M125" s="3" t="str">
        <f>HYPERLINK("..\..\Imagery\ScannedPhotos\1991\DD91-072.1.jpg")</f>
        <v>..\..\Imagery\ScannedPhotos\1991\DD91-072.1.jpg</v>
      </c>
    </row>
    <row r="126" spans="1:13" x14ac:dyDescent="0.25">
      <c r="A126" t="s">
        <v>416</v>
      </c>
      <c r="B126">
        <v>483744</v>
      </c>
      <c r="C126">
        <v>5826065</v>
      </c>
      <c r="D126">
        <v>21</v>
      </c>
      <c r="E126" t="s">
        <v>15</v>
      </c>
      <c r="F126" t="s">
        <v>417</v>
      </c>
      <c r="G126">
        <v>2</v>
      </c>
      <c r="H126" t="s">
        <v>40</v>
      </c>
      <c r="I126" t="s">
        <v>418</v>
      </c>
      <c r="J126" t="s">
        <v>42</v>
      </c>
      <c r="K126" t="s">
        <v>20</v>
      </c>
      <c r="L126" t="s">
        <v>419</v>
      </c>
      <c r="M126" s="3" t="str">
        <f>HYPERLINK("..\..\Imagery\ScannedPhotos\1991\DD91-051.2.jpg")</f>
        <v>..\..\Imagery\ScannedPhotos\1991\DD91-051.2.jpg</v>
      </c>
    </row>
    <row r="127" spans="1:13" x14ac:dyDescent="0.25">
      <c r="A127" t="s">
        <v>420</v>
      </c>
      <c r="B127">
        <v>478207</v>
      </c>
      <c r="C127">
        <v>6039351</v>
      </c>
      <c r="D127">
        <v>21</v>
      </c>
      <c r="E127" t="s">
        <v>15</v>
      </c>
      <c r="F127" t="s">
        <v>421</v>
      </c>
      <c r="G127">
        <v>1</v>
      </c>
      <c r="H127" t="s">
        <v>422</v>
      </c>
      <c r="I127" t="s">
        <v>65</v>
      </c>
      <c r="J127" t="s">
        <v>423</v>
      </c>
      <c r="K127" t="s">
        <v>20</v>
      </c>
      <c r="L127" t="s">
        <v>424</v>
      </c>
      <c r="M127" s="3" t="str">
        <f>HYPERLINK("..\..\Imagery\ScannedPhotos\1979\AD79-212.jpg")</f>
        <v>..\..\Imagery\ScannedPhotos\1979\AD79-212.jpg</v>
      </c>
    </row>
    <row r="128" spans="1:13" x14ac:dyDescent="0.25">
      <c r="A128" t="s">
        <v>425</v>
      </c>
      <c r="B128">
        <v>477592</v>
      </c>
      <c r="C128">
        <v>6046051</v>
      </c>
      <c r="D128">
        <v>21</v>
      </c>
      <c r="E128" t="s">
        <v>15</v>
      </c>
      <c r="F128" t="s">
        <v>426</v>
      </c>
      <c r="G128">
        <v>5</v>
      </c>
      <c r="H128" t="s">
        <v>427</v>
      </c>
      <c r="I128" t="s">
        <v>18</v>
      </c>
      <c r="J128" t="s">
        <v>428</v>
      </c>
      <c r="K128" t="s">
        <v>20</v>
      </c>
      <c r="L128" t="s">
        <v>429</v>
      </c>
      <c r="M128" s="3" t="str">
        <f>HYPERLINK("..\..\Imagery\ScannedPhotos\1979\AD79-219.1.jpg")</f>
        <v>..\..\Imagery\ScannedPhotos\1979\AD79-219.1.jpg</v>
      </c>
    </row>
    <row r="129" spans="1:13" x14ac:dyDescent="0.25">
      <c r="A129" t="s">
        <v>425</v>
      </c>
      <c r="B129">
        <v>477592</v>
      </c>
      <c r="C129">
        <v>6046051</v>
      </c>
      <c r="D129">
        <v>21</v>
      </c>
      <c r="E129" t="s">
        <v>15</v>
      </c>
      <c r="F129" t="s">
        <v>430</v>
      </c>
      <c r="G129">
        <v>5</v>
      </c>
      <c r="H129" t="s">
        <v>427</v>
      </c>
      <c r="I129" t="s">
        <v>35</v>
      </c>
      <c r="J129" t="s">
        <v>428</v>
      </c>
      <c r="K129" t="s">
        <v>20</v>
      </c>
      <c r="L129" t="s">
        <v>429</v>
      </c>
      <c r="M129" s="3" t="str">
        <f>HYPERLINK("..\..\Imagery\ScannedPhotos\1979\AD79-219.2.jpg")</f>
        <v>..\..\Imagery\ScannedPhotos\1979\AD79-219.2.jpg</v>
      </c>
    </row>
    <row r="130" spans="1:13" x14ac:dyDescent="0.25">
      <c r="A130" t="s">
        <v>425</v>
      </c>
      <c r="B130">
        <v>477592</v>
      </c>
      <c r="C130">
        <v>6046051</v>
      </c>
      <c r="D130">
        <v>21</v>
      </c>
      <c r="E130" t="s">
        <v>15</v>
      </c>
      <c r="F130" t="s">
        <v>431</v>
      </c>
      <c r="G130">
        <v>5</v>
      </c>
      <c r="H130" t="s">
        <v>427</v>
      </c>
      <c r="I130" t="s">
        <v>69</v>
      </c>
      <c r="J130" t="s">
        <v>428</v>
      </c>
      <c r="K130" t="s">
        <v>20</v>
      </c>
      <c r="L130" t="s">
        <v>432</v>
      </c>
      <c r="M130" s="3" t="str">
        <f>HYPERLINK("..\..\Imagery\ScannedPhotos\1979\AD79-219.3.jpg")</f>
        <v>..\..\Imagery\ScannedPhotos\1979\AD79-219.3.jpg</v>
      </c>
    </row>
    <row r="131" spans="1:13" x14ac:dyDescent="0.25">
      <c r="A131" t="s">
        <v>425</v>
      </c>
      <c r="B131">
        <v>477592</v>
      </c>
      <c r="C131">
        <v>6046051</v>
      </c>
      <c r="D131">
        <v>21</v>
      </c>
      <c r="E131" t="s">
        <v>15</v>
      </c>
      <c r="F131" t="s">
        <v>433</v>
      </c>
      <c r="G131">
        <v>5</v>
      </c>
      <c r="H131" t="s">
        <v>427</v>
      </c>
      <c r="I131" t="s">
        <v>74</v>
      </c>
      <c r="J131" t="s">
        <v>428</v>
      </c>
      <c r="K131" t="s">
        <v>20</v>
      </c>
      <c r="L131" t="s">
        <v>434</v>
      </c>
      <c r="M131" s="3" t="str">
        <f>HYPERLINK("..\..\Imagery\ScannedPhotos\1979\AD79-219.4.jpg")</f>
        <v>..\..\Imagery\ScannedPhotos\1979\AD79-219.4.jpg</v>
      </c>
    </row>
    <row r="132" spans="1:13" x14ac:dyDescent="0.25">
      <c r="A132" t="s">
        <v>435</v>
      </c>
      <c r="B132">
        <v>476671</v>
      </c>
      <c r="C132">
        <v>6046175</v>
      </c>
      <c r="D132">
        <v>21</v>
      </c>
      <c r="E132" t="s">
        <v>15</v>
      </c>
      <c r="F132" t="s">
        <v>436</v>
      </c>
      <c r="G132">
        <v>1</v>
      </c>
      <c r="H132" t="s">
        <v>427</v>
      </c>
      <c r="I132" t="s">
        <v>209</v>
      </c>
      <c r="J132" t="s">
        <v>428</v>
      </c>
      <c r="K132" t="s">
        <v>20</v>
      </c>
      <c r="L132" t="s">
        <v>437</v>
      </c>
      <c r="M132" s="3" t="str">
        <f>HYPERLINK("..\..\Imagery\ScannedPhotos\1979\AD79-223.jpg")</f>
        <v>..\..\Imagery\ScannedPhotos\1979\AD79-223.jpg</v>
      </c>
    </row>
    <row r="133" spans="1:13" x14ac:dyDescent="0.25">
      <c r="A133" t="s">
        <v>438</v>
      </c>
      <c r="B133">
        <v>476000</v>
      </c>
      <c r="C133">
        <v>6045191</v>
      </c>
      <c r="D133">
        <v>21</v>
      </c>
      <c r="E133" t="s">
        <v>15</v>
      </c>
      <c r="F133" t="s">
        <v>439</v>
      </c>
      <c r="G133">
        <v>2</v>
      </c>
      <c r="H133" t="s">
        <v>427</v>
      </c>
      <c r="I133" t="s">
        <v>418</v>
      </c>
      <c r="J133" t="s">
        <v>428</v>
      </c>
      <c r="K133" t="s">
        <v>20</v>
      </c>
      <c r="L133" t="s">
        <v>440</v>
      </c>
      <c r="M133" s="3" t="str">
        <f>HYPERLINK("..\..\Imagery\ScannedPhotos\1979\AD79-224.2.jpg")</f>
        <v>..\..\Imagery\ScannedPhotos\1979\AD79-224.2.jpg</v>
      </c>
    </row>
    <row r="134" spans="1:13" x14ac:dyDescent="0.25">
      <c r="A134" t="s">
        <v>441</v>
      </c>
      <c r="B134">
        <v>483170</v>
      </c>
      <c r="C134">
        <v>5948871</v>
      </c>
      <c r="D134">
        <v>21</v>
      </c>
      <c r="E134" t="s">
        <v>15</v>
      </c>
      <c r="F134" t="s">
        <v>442</v>
      </c>
      <c r="G134">
        <v>6</v>
      </c>
      <c r="H134" t="s">
        <v>443</v>
      </c>
      <c r="I134" t="s">
        <v>25</v>
      </c>
      <c r="J134" t="s">
        <v>48</v>
      </c>
      <c r="K134" t="s">
        <v>20</v>
      </c>
      <c r="L134" t="s">
        <v>444</v>
      </c>
      <c r="M134" s="3" t="str">
        <f>HYPERLINK("..\..\Imagery\ScannedPhotos\1981\CG81-081.6.jpg")</f>
        <v>..\..\Imagery\ScannedPhotos\1981\CG81-081.6.jpg</v>
      </c>
    </row>
    <row r="135" spans="1:13" x14ac:dyDescent="0.25">
      <c r="A135" t="s">
        <v>343</v>
      </c>
      <c r="B135">
        <v>501252</v>
      </c>
      <c r="C135">
        <v>5943268</v>
      </c>
      <c r="D135">
        <v>21</v>
      </c>
      <c r="E135" t="s">
        <v>15</v>
      </c>
      <c r="F135" t="s">
        <v>445</v>
      </c>
      <c r="G135">
        <v>2</v>
      </c>
      <c r="K135" t="s">
        <v>20</v>
      </c>
      <c r="L135" t="s">
        <v>446</v>
      </c>
      <c r="M135" s="3" t="str">
        <f>HYPERLINK("..\..\Imagery\ScannedPhotos\2003\CG03-238.2.jpg")</f>
        <v>..\..\Imagery\ScannedPhotos\2003\CG03-238.2.jpg</v>
      </c>
    </row>
    <row r="136" spans="1:13" x14ac:dyDescent="0.25">
      <c r="A136" t="s">
        <v>447</v>
      </c>
      <c r="B136">
        <v>503748</v>
      </c>
      <c r="C136">
        <v>5941919</v>
      </c>
      <c r="D136">
        <v>21</v>
      </c>
      <c r="E136" t="s">
        <v>15</v>
      </c>
      <c r="F136" t="s">
        <v>448</v>
      </c>
      <c r="G136">
        <v>3</v>
      </c>
      <c r="K136" t="s">
        <v>56</v>
      </c>
      <c r="L136" t="s">
        <v>449</v>
      </c>
      <c r="M136" s="3" t="str">
        <f>HYPERLINK("..\..\Imagery\ScannedPhotos\2003\CG03-243.1.jpg")</f>
        <v>..\..\Imagery\ScannedPhotos\2003\CG03-243.1.jpg</v>
      </c>
    </row>
    <row r="137" spans="1:13" x14ac:dyDescent="0.25">
      <c r="A137" t="s">
        <v>447</v>
      </c>
      <c r="B137">
        <v>503748</v>
      </c>
      <c r="C137">
        <v>5941919</v>
      </c>
      <c r="D137">
        <v>21</v>
      </c>
      <c r="E137" t="s">
        <v>15</v>
      </c>
      <c r="F137" t="s">
        <v>450</v>
      </c>
      <c r="G137">
        <v>3</v>
      </c>
      <c r="K137" t="s">
        <v>56</v>
      </c>
      <c r="L137" t="s">
        <v>451</v>
      </c>
      <c r="M137" s="3" t="str">
        <f>HYPERLINK("..\..\Imagery\ScannedPhotos\2003\CG03-243.2.jpg")</f>
        <v>..\..\Imagery\ScannedPhotos\2003\CG03-243.2.jpg</v>
      </c>
    </row>
    <row r="138" spans="1:13" x14ac:dyDescent="0.25">
      <c r="A138" t="s">
        <v>447</v>
      </c>
      <c r="B138">
        <v>503748</v>
      </c>
      <c r="C138">
        <v>5941919</v>
      </c>
      <c r="D138">
        <v>21</v>
      </c>
      <c r="E138" t="s">
        <v>15</v>
      </c>
      <c r="F138" t="s">
        <v>452</v>
      </c>
      <c r="G138">
        <v>3</v>
      </c>
      <c r="K138" t="s">
        <v>56</v>
      </c>
      <c r="L138" t="s">
        <v>449</v>
      </c>
      <c r="M138" s="3" t="str">
        <f>HYPERLINK("..\..\Imagery\ScannedPhotos\2003\CG03-243.3.jpg")</f>
        <v>..\..\Imagery\ScannedPhotos\2003\CG03-243.3.jpg</v>
      </c>
    </row>
    <row r="139" spans="1:13" x14ac:dyDescent="0.25">
      <c r="A139" t="s">
        <v>453</v>
      </c>
      <c r="B139">
        <v>508214</v>
      </c>
      <c r="C139">
        <v>5846432</v>
      </c>
      <c r="D139">
        <v>21</v>
      </c>
      <c r="E139" t="s">
        <v>15</v>
      </c>
      <c r="F139" t="s">
        <v>454</v>
      </c>
      <c r="G139">
        <v>2</v>
      </c>
      <c r="K139" t="s">
        <v>20</v>
      </c>
      <c r="L139" t="s">
        <v>455</v>
      </c>
      <c r="M139" s="3" t="str">
        <f>HYPERLINK("..\..\Imagery\ScannedPhotos\2003\CG03-371.2.jpg")</f>
        <v>..\..\Imagery\ScannedPhotos\2003\CG03-371.2.jpg</v>
      </c>
    </row>
    <row r="140" spans="1:13" x14ac:dyDescent="0.25">
      <c r="A140" t="s">
        <v>456</v>
      </c>
      <c r="B140">
        <v>484471</v>
      </c>
      <c r="C140">
        <v>5865203</v>
      </c>
      <c r="D140">
        <v>21</v>
      </c>
      <c r="E140" t="s">
        <v>15</v>
      </c>
      <c r="F140" t="s">
        <v>457</v>
      </c>
      <c r="G140">
        <v>10</v>
      </c>
      <c r="K140" t="s">
        <v>56</v>
      </c>
      <c r="L140" t="s">
        <v>458</v>
      </c>
      <c r="M140" s="3" t="str">
        <f>HYPERLINK("..\..\Imagery\ScannedPhotos\2003\CG03-354.1.jpg")</f>
        <v>..\..\Imagery\ScannedPhotos\2003\CG03-354.1.jpg</v>
      </c>
    </row>
    <row r="141" spans="1:13" x14ac:dyDescent="0.25">
      <c r="A141" t="s">
        <v>456</v>
      </c>
      <c r="B141">
        <v>484471</v>
      </c>
      <c r="C141">
        <v>5865203</v>
      </c>
      <c r="D141">
        <v>21</v>
      </c>
      <c r="E141" t="s">
        <v>15</v>
      </c>
      <c r="F141" t="s">
        <v>459</v>
      </c>
      <c r="G141">
        <v>10</v>
      </c>
      <c r="K141" t="s">
        <v>56</v>
      </c>
      <c r="L141" t="s">
        <v>460</v>
      </c>
      <c r="M141" s="3" t="str">
        <f>HYPERLINK("..\..\Imagery\ScannedPhotos\2003\CG03-354.2.jpg")</f>
        <v>..\..\Imagery\ScannedPhotos\2003\CG03-354.2.jpg</v>
      </c>
    </row>
    <row r="142" spans="1:13" x14ac:dyDescent="0.25">
      <c r="A142" t="s">
        <v>456</v>
      </c>
      <c r="B142">
        <v>484471</v>
      </c>
      <c r="C142">
        <v>5865203</v>
      </c>
      <c r="D142">
        <v>21</v>
      </c>
      <c r="E142" t="s">
        <v>15</v>
      </c>
      <c r="F142" t="s">
        <v>461</v>
      </c>
      <c r="G142">
        <v>10</v>
      </c>
      <c r="K142" t="s">
        <v>56</v>
      </c>
      <c r="L142" t="s">
        <v>462</v>
      </c>
      <c r="M142" s="3" t="str">
        <f>HYPERLINK("..\..\Imagery\ScannedPhotos\2003\CG03-354.3.jpg")</f>
        <v>..\..\Imagery\ScannedPhotos\2003\CG03-354.3.jpg</v>
      </c>
    </row>
    <row r="143" spans="1:13" x14ac:dyDescent="0.25">
      <c r="A143" t="s">
        <v>456</v>
      </c>
      <c r="B143">
        <v>484471</v>
      </c>
      <c r="C143">
        <v>5865203</v>
      </c>
      <c r="D143">
        <v>21</v>
      </c>
      <c r="E143" t="s">
        <v>15</v>
      </c>
      <c r="F143" t="s">
        <v>463</v>
      </c>
      <c r="G143">
        <v>10</v>
      </c>
      <c r="K143" t="s">
        <v>20</v>
      </c>
      <c r="L143" t="s">
        <v>462</v>
      </c>
      <c r="M143" s="3" t="str">
        <f>HYPERLINK("..\..\Imagery\ScannedPhotos\2003\CG03-354.5.jpg")</f>
        <v>..\..\Imagery\ScannedPhotos\2003\CG03-354.5.jpg</v>
      </c>
    </row>
    <row r="144" spans="1:13" x14ac:dyDescent="0.25">
      <c r="A144" t="s">
        <v>456</v>
      </c>
      <c r="B144">
        <v>484471</v>
      </c>
      <c r="C144">
        <v>5865203</v>
      </c>
      <c r="D144">
        <v>21</v>
      </c>
      <c r="E144" t="s">
        <v>15</v>
      </c>
      <c r="F144" t="s">
        <v>464</v>
      </c>
      <c r="G144">
        <v>10</v>
      </c>
      <c r="K144" t="s">
        <v>56</v>
      </c>
      <c r="L144" t="s">
        <v>460</v>
      </c>
      <c r="M144" s="3" t="str">
        <f>HYPERLINK("..\..\Imagery\ScannedPhotos\2003\CG03-354.6.jpg")</f>
        <v>..\..\Imagery\ScannedPhotos\2003\CG03-354.6.jpg</v>
      </c>
    </row>
    <row r="145" spans="1:13" x14ac:dyDescent="0.25">
      <c r="A145" t="s">
        <v>456</v>
      </c>
      <c r="B145">
        <v>484471</v>
      </c>
      <c r="C145">
        <v>5865203</v>
      </c>
      <c r="D145">
        <v>21</v>
      </c>
      <c r="E145" t="s">
        <v>15</v>
      </c>
      <c r="F145" t="s">
        <v>465</v>
      </c>
      <c r="G145">
        <v>10</v>
      </c>
      <c r="K145" t="s">
        <v>56</v>
      </c>
      <c r="L145" t="s">
        <v>460</v>
      </c>
      <c r="M145" s="3" t="str">
        <f>HYPERLINK("..\..\Imagery\ScannedPhotos\2003\CG03-354.7.jpg")</f>
        <v>..\..\Imagery\ScannedPhotos\2003\CG03-354.7.jpg</v>
      </c>
    </row>
    <row r="146" spans="1:13" x14ac:dyDescent="0.25">
      <c r="A146" t="s">
        <v>456</v>
      </c>
      <c r="B146">
        <v>484471</v>
      </c>
      <c r="C146">
        <v>5865203</v>
      </c>
      <c r="D146">
        <v>21</v>
      </c>
      <c r="E146" t="s">
        <v>15</v>
      </c>
      <c r="F146" t="s">
        <v>466</v>
      </c>
      <c r="G146">
        <v>10</v>
      </c>
      <c r="K146" t="s">
        <v>56</v>
      </c>
      <c r="L146" t="s">
        <v>458</v>
      </c>
      <c r="M146" s="3" t="str">
        <f>HYPERLINK("..\..\Imagery\ScannedPhotos\2003\CG03-354.8.jpg")</f>
        <v>..\..\Imagery\ScannedPhotos\2003\CG03-354.8.jpg</v>
      </c>
    </row>
    <row r="147" spans="1:13" x14ac:dyDescent="0.25">
      <c r="A147" t="s">
        <v>456</v>
      </c>
      <c r="B147">
        <v>484471</v>
      </c>
      <c r="C147">
        <v>5865203</v>
      </c>
      <c r="D147">
        <v>21</v>
      </c>
      <c r="E147" t="s">
        <v>15</v>
      </c>
      <c r="F147" t="s">
        <v>467</v>
      </c>
      <c r="G147">
        <v>10</v>
      </c>
      <c r="K147" t="s">
        <v>56</v>
      </c>
      <c r="L147" t="s">
        <v>468</v>
      </c>
      <c r="M147" s="3" t="str">
        <f>HYPERLINK("..\..\Imagery\ScannedPhotos\2003\CG03-354.9.jpg")</f>
        <v>..\..\Imagery\ScannedPhotos\2003\CG03-354.9.jpg</v>
      </c>
    </row>
    <row r="148" spans="1:13" x14ac:dyDescent="0.25">
      <c r="A148" t="s">
        <v>456</v>
      </c>
      <c r="B148">
        <v>484471</v>
      </c>
      <c r="C148">
        <v>5865203</v>
      </c>
      <c r="D148">
        <v>21</v>
      </c>
      <c r="E148" t="s">
        <v>15</v>
      </c>
      <c r="F148" t="s">
        <v>469</v>
      </c>
      <c r="G148">
        <v>10</v>
      </c>
      <c r="K148" t="s">
        <v>56</v>
      </c>
      <c r="L148" t="s">
        <v>468</v>
      </c>
      <c r="M148" s="3" t="str">
        <f>HYPERLINK("..\..\Imagery\ScannedPhotos\2003\CG03-354.10.jpg")</f>
        <v>..\..\Imagery\ScannedPhotos\2003\CG03-354.10.jpg</v>
      </c>
    </row>
    <row r="149" spans="1:13" x14ac:dyDescent="0.25">
      <c r="A149" t="s">
        <v>470</v>
      </c>
      <c r="B149">
        <v>465585</v>
      </c>
      <c r="C149">
        <v>5881178</v>
      </c>
      <c r="D149">
        <v>21</v>
      </c>
      <c r="E149" t="s">
        <v>15</v>
      </c>
      <c r="F149" t="s">
        <v>471</v>
      </c>
      <c r="G149">
        <v>7</v>
      </c>
      <c r="K149" t="s">
        <v>56</v>
      </c>
      <c r="L149" t="s">
        <v>472</v>
      </c>
      <c r="M149" s="3" t="str">
        <f>HYPERLINK("..\..\Imagery\ScannedPhotos\2004\CG04-237.1.jpg")</f>
        <v>..\..\Imagery\ScannedPhotos\2004\CG04-237.1.jpg</v>
      </c>
    </row>
    <row r="150" spans="1:13" x14ac:dyDescent="0.25">
      <c r="A150" t="s">
        <v>470</v>
      </c>
      <c r="B150">
        <v>465585</v>
      </c>
      <c r="C150">
        <v>5881178</v>
      </c>
      <c r="D150">
        <v>21</v>
      </c>
      <c r="E150" t="s">
        <v>15</v>
      </c>
      <c r="F150" t="s">
        <v>473</v>
      </c>
      <c r="G150">
        <v>7</v>
      </c>
      <c r="K150" t="s">
        <v>56</v>
      </c>
      <c r="L150" t="s">
        <v>472</v>
      </c>
      <c r="M150" s="3" t="str">
        <f>HYPERLINK("..\..\Imagery\ScannedPhotos\2004\CG04-237.2.jpg")</f>
        <v>..\..\Imagery\ScannedPhotos\2004\CG04-237.2.jpg</v>
      </c>
    </row>
    <row r="151" spans="1:13" x14ac:dyDescent="0.25">
      <c r="A151" t="s">
        <v>470</v>
      </c>
      <c r="B151">
        <v>465585</v>
      </c>
      <c r="C151">
        <v>5881178</v>
      </c>
      <c r="D151">
        <v>21</v>
      </c>
      <c r="E151" t="s">
        <v>15</v>
      </c>
      <c r="F151" t="s">
        <v>474</v>
      </c>
      <c r="G151">
        <v>7</v>
      </c>
      <c r="K151" t="s">
        <v>56</v>
      </c>
      <c r="L151" t="s">
        <v>472</v>
      </c>
      <c r="M151" s="3" t="str">
        <f>HYPERLINK("..\..\Imagery\ScannedPhotos\2004\CG04-237.3.jpg")</f>
        <v>..\..\Imagery\ScannedPhotos\2004\CG04-237.3.jpg</v>
      </c>
    </row>
    <row r="152" spans="1:13" x14ac:dyDescent="0.25">
      <c r="A152" t="s">
        <v>470</v>
      </c>
      <c r="B152">
        <v>465585</v>
      </c>
      <c r="C152">
        <v>5881178</v>
      </c>
      <c r="D152">
        <v>21</v>
      </c>
      <c r="E152" t="s">
        <v>15</v>
      </c>
      <c r="F152" t="s">
        <v>475</v>
      </c>
      <c r="G152">
        <v>7</v>
      </c>
      <c r="K152" t="s">
        <v>56</v>
      </c>
      <c r="L152" t="s">
        <v>472</v>
      </c>
      <c r="M152" s="3" t="str">
        <f>HYPERLINK("..\..\Imagery\ScannedPhotos\2004\CG04-237.4.jpg")</f>
        <v>..\..\Imagery\ScannedPhotos\2004\CG04-237.4.jpg</v>
      </c>
    </row>
    <row r="153" spans="1:13" x14ac:dyDescent="0.25">
      <c r="A153" t="s">
        <v>470</v>
      </c>
      <c r="B153">
        <v>465585</v>
      </c>
      <c r="C153">
        <v>5881178</v>
      </c>
      <c r="D153">
        <v>21</v>
      </c>
      <c r="E153" t="s">
        <v>15</v>
      </c>
      <c r="F153" t="s">
        <v>476</v>
      </c>
      <c r="G153">
        <v>7</v>
      </c>
      <c r="K153" t="s">
        <v>20</v>
      </c>
      <c r="L153" t="s">
        <v>477</v>
      </c>
      <c r="M153" s="3" t="str">
        <f>HYPERLINK("..\..\Imagery\ScannedPhotos\2004\CG04-237.5.jpg")</f>
        <v>..\..\Imagery\ScannedPhotos\2004\CG04-237.5.jpg</v>
      </c>
    </row>
    <row r="154" spans="1:13" x14ac:dyDescent="0.25">
      <c r="A154" t="s">
        <v>470</v>
      </c>
      <c r="B154">
        <v>465585</v>
      </c>
      <c r="C154">
        <v>5881178</v>
      </c>
      <c r="D154">
        <v>21</v>
      </c>
      <c r="E154" t="s">
        <v>15</v>
      </c>
      <c r="F154" t="s">
        <v>478</v>
      </c>
      <c r="G154">
        <v>7</v>
      </c>
      <c r="K154" t="s">
        <v>20</v>
      </c>
      <c r="L154" t="s">
        <v>477</v>
      </c>
      <c r="M154" s="3" t="str">
        <f>HYPERLINK("..\..\Imagery\ScannedPhotos\2004\CG04-237.6.jpg")</f>
        <v>..\..\Imagery\ScannedPhotos\2004\CG04-237.6.jpg</v>
      </c>
    </row>
    <row r="155" spans="1:13" x14ac:dyDescent="0.25">
      <c r="A155" t="s">
        <v>470</v>
      </c>
      <c r="B155">
        <v>465585</v>
      </c>
      <c r="C155">
        <v>5881178</v>
      </c>
      <c r="D155">
        <v>21</v>
      </c>
      <c r="E155" t="s">
        <v>15</v>
      </c>
      <c r="F155" t="s">
        <v>479</v>
      </c>
      <c r="G155">
        <v>7</v>
      </c>
      <c r="K155" t="s">
        <v>20</v>
      </c>
      <c r="L155" t="s">
        <v>477</v>
      </c>
      <c r="M155" s="3" t="str">
        <f>HYPERLINK("..\..\Imagery\ScannedPhotos\2004\CG04-237.7.jpg")</f>
        <v>..\..\Imagery\ScannedPhotos\2004\CG04-237.7.jpg</v>
      </c>
    </row>
    <row r="156" spans="1:13" x14ac:dyDescent="0.25">
      <c r="A156" t="s">
        <v>480</v>
      </c>
      <c r="B156">
        <v>479759</v>
      </c>
      <c r="C156">
        <v>5915852</v>
      </c>
      <c r="D156">
        <v>21</v>
      </c>
      <c r="E156" t="s">
        <v>15</v>
      </c>
      <c r="F156" t="s">
        <v>481</v>
      </c>
      <c r="G156">
        <v>7</v>
      </c>
      <c r="K156" t="s">
        <v>109</v>
      </c>
      <c r="L156" t="s">
        <v>482</v>
      </c>
      <c r="M156" s="3" t="str">
        <f>HYPERLINK("..\..\Imagery\ScannedPhotos\2004\CG04-196.3.jpg")</f>
        <v>..\..\Imagery\ScannedPhotos\2004\CG04-196.3.jpg</v>
      </c>
    </row>
    <row r="157" spans="1:13" x14ac:dyDescent="0.25">
      <c r="A157" t="s">
        <v>480</v>
      </c>
      <c r="B157">
        <v>479759</v>
      </c>
      <c r="C157">
        <v>5915852</v>
      </c>
      <c r="D157">
        <v>21</v>
      </c>
      <c r="E157" t="s">
        <v>15</v>
      </c>
      <c r="F157" t="s">
        <v>483</v>
      </c>
      <c r="G157">
        <v>7</v>
      </c>
      <c r="K157" t="s">
        <v>109</v>
      </c>
      <c r="L157" t="s">
        <v>482</v>
      </c>
      <c r="M157" s="3" t="str">
        <f>HYPERLINK("..\..\Imagery\ScannedPhotos\2004\CG04-196.4.jpg")</f>
        <v>..\..\Imagery\ScannedPhotos\2004\CG04-196.4.jpg</v>
      </c>
    </row>
    <row r="158" spans="1:13" x14ac:dyDescent="0.25">
      <c r="A158" t="s">
        <v>480</v>
      </c>
      <c r="B158">
        <v>479759</v>
      </c>
      <c r="C158">
        <v>5915852</v>
      </c>
      <c r="D158">
        <v>21</v>
      </c>
      <c r="E158" t="s">
        <v>15</v>
      </c>
      <c r="F158" t="s">
        <v>484</v>
      </c>
      <c r="G158">
        <v>7</v>
      </c>
      <c r="K158" t="s">
        <v>109</v>
      </c>
      <c r="L158" t="s">
        <v>482</v>
      </c>
      <c r="M158" s="3" t="str">
        <f>HYPERLINK("..\..\Imagery\ScannedPhotos\2004\CG04-196.5.jpg")</f>
        <v>..\..\Imagery\ScannedPhotos\2004\CG04-196.5.jpg</v>
      </c>
    </row>
    <row r="159" spans="1:13" x14ac:dyDescent="0.25">
      <c r="A159" t="s">
        <v>480</v>
      </c>
      <c r="B159">
        <v>479759</v>
      </c>
      <c r="C159">
        <v>5915852</v>
      </c>
      <c r="D159">
        <v>21</v>
      </c>
      <c r="E159" t="s">
        <v>15</v>
      </c>
      <c r="F159" t="s">
        <v>485</v>
      </c>
      <c r="G159">
        <v>7</v>
      </c>
      <c r="K159" t="s">
        <v>109</v>
      </c>
      <c r="L159" t="s">
        <v>482</v>
      </c>
      <c r="M159" s="3" t="str">
        <f>HYPERLINK("..\..\Imagery\ScannedPhotos\2004\CG04-196.6.jpg")</f>
        <v>..\..\Imagery\ScannedPhotos\2004\CG04-196.6.jpg</v>
      </c>
    </row>
    <row r="160" spans="1:13" x14ac:dyDescent="0.25">
      <c r="A160" t="s">
        <v>480</v>
      </c>
      <c r="B160">
        <v>479759</v>
      </c>
      <c r="C160">
        <v>5915852</v>
      </c>
      <c r="D160">
        <v>21</v>
      </c>
      <c r="E160" t="s">
        <v>15</v>
      </c>
      <c r="F160" t="s">
        <v>486</v>
      </c>
      <c r="G160">
        <v>7</v>
      </c>
      <c r="K160" t="s">
        <v>109</v>
      </c>
      <c r="L160" t="s">
        <v>482</v>
      </c>
      <c r="M160" s="3" t="str">
        <f>HYPERLINK("..\..\Imagery\ScannedPhotos\2004\CG04-196.7.jpg")</f>
        <v>..\..\Imagery\ScannedPhotos\2004\CG04-196.7.jpg</v>
      </c>
    </row>
    <row r="161" spans="1:13" x14ac:dyDescent="0.25">
      <c r="A161" t="s">
        <v>487</v>
      </c>
      <c r="B161">
        <v>546939</v>
      </c>
      <c r="C161">
        <v>5841084</v>
      </c>
      <c r="D161">
        <v>21</v>
      </c>
      <c r="E161" t="s">
        <v>15</v>
      </c>
      <c r="F161" t="s">
        <v>488</v>
      </c>
      <c r="G161">
        <v>1</v>
      </c>
      <c r="K161" t="s">
        <v>56</v>
      </c>
      <c r="L161" t="s">
        <v>489</v>
      </c>
      <c r="M161" s="3" t="str">
        <f>HYPERLINK("..\..\Imagery\ScannedPhotos\2004\CG04-029.jpg")</f>
        <v>..\..\Imagery\ScannedPhotos\2004\CG04-029.jpg</v>
      </c>
    </row>
    <row r="162" spans="1:13" x14ac:dyDescent="0.25">
      <c r="A162" t="s">
        <v>490</v>
      </c>
      <c r="B162">
        <v>300754</v>
      </c>
      <c r="C162">
        <v>5851421</v>
      </c>
      <c r="D162">
        <v>21</v>
      </c>
      <c r="E162" t="s">
        <v>15</v>
      </c>
      <c r="F162" t="s">
        <v>491</v>
      </c>
      <c r="G162">
        <v>1</v>
      </c>
      <c r="K162" t="s">
        <v>20</v>
      </c>
      <c r="L162" t="s">
        <v>492</v>
      </c>
      <c r="M162" s="3" t="str">
        <f>HYPERLINK("..\..\Imagery\ScannedPhotos\2009\CG09-047.jpg")</f>
        <v>..\..\Imagery\ScannedPhotos\2009\CG09-047.jpg</v>
      </c>
    </row>
    <row r="163" spans="1:13" x14ac:dyDescent="0.25">
      <c r="A163" t="s">
        <v>493</v>
      </c>
      <c r="B163">
        <v>319715</v>
      </c>
      <c r="C163">
        <v>5835587</v>
      </c>
      <c r="D163">
        <v>21</v>
      </c>
      <c r="E163" t="s">
        <v>15</v>
      </c>
      <c r="F163" t="s">
        <v>494</v>
      </c>
      <c r="G163">
        <v>4</v>
      </c>
      <c r="K163" t="s">
        <v>20</v>
      </c>
      <c r="L163" t="s">
        <v>495</v>
      </c>
      <c r="M163" s="3" t="str">
        <f>HYPERLINK("..\..\Imagery\ScannedPhotos\2010\CG10-013.1.jpg")</f>
        <v>..\..\Imagery\ScannedPhotos\2010\CG10-013.1.jpg</v>
      </c>
    </row>
    <row r="164" spans="1:13" x14ac:dyDescent="0.25">
      <c r="A164" t="s">
        <v>493</v>
      </c>
      <c r="B164">
        <v>319715</v>
      </c>
      <c r="C164">
        <v>5835587</v>
      </c>
      <c r="D164">
        <v>21</v>
      </c>
      <c r="E164" t="s">
        <v>15</v>
      </c>
      <c r="F164" t="s">
        <v>496</v>
      </c>
      <c r="G164">
        <v>4</v>
      </c>
      <c r="K164" t="s">
        <v>56</v>
      </c>
      <c r="L164" t="s">
        <v>497</v>
      </c>
      <c r="M164" s="3" t="str">
        <f>HYPERLINK("..\..\Imagery\ScannedPhotos\2010\CG10-013.2.jpg")</f>
        <v>..\..\Imagery\ScannedPhotos\2010\CG10-013.2.jpg</v>
      </c>
    </row>
    <row r="165" spans="1:13" x14ac:dyDescent="0.25">
      <c r="A165" t="s">
        <v>493</v>
      </c>
      <c r="B165">
        <v>319715</v>
      </c>
      <c r="C165">
        <v>5835587</v>
      </c>
      <c r="D165">
        <v>21</v>
      </c>
      <c r="E165" t="s">
        <v>15</v>
      </c>
      <c r="F165" t="s">
        <v>498</v>
      </c>
      <c r="G165">
        <v>4</v>
      </c>
      <c r="K165" t="s">
        <v>56</v>
      </c>
      <c r="L165" t="s">
        <v>499</v>
      </c>
      <c r="M165" s="3" t="str">
        <f>HYPERLINK("..\..\Imagery\ScannedPhotos\2010\CG10-013.3.jpg")</f>
        <v>..\..\Imagery\ScannedPhotos\2010\CG10-013.3.jpg</v>
      </c>
    </row>
    <row r="166" spans="1:13" x14ac:dyDescent="0.25">
      <c r="A166" t="s">
        <v>493</v>
      </c>
      <c r="B166">
        <v>319715</v>
      </c>
      <c r="C166">
        <v>5835587</v>
      </c>
      <c r="D166">
        <v>21</v>
      </c>
      <c r="E166" t="s">
        <v>15</v>
      </c>
      <c r="F166" t="s">
        <v>500</v>
      </c>
      <c r="G166">
        <v>4</v>
      </c>
      <c r="K166" t="s">
        <v>56</v>
      </c>
      <c r="L166" t="s">
        <v>499</v>
      </c>
      <c r="M166" s="3" t="str">
        <f>HYPERLINK("..\..\Imagery\ScannedPhotos\2010\CG10-013.4.jpg")</f>
        <v>..\..\Imagery\ScannedPhotos\2010\CG10-013.4.jpg</v>
      </c>
    </row>
    <row r="167" spans="1:13" x14ac:dyDescent="0.25">
      <c r="A167" t="s">
        <v>501</v>
      </c>
      <c r="B167">
        <v>350930</v>
      </c>
      <c r="C167">
        <v>5828456</v>
      </c>
      <c r="D167">
        <v>21</v>
      </c>
      <c r="E167" t="s">
        <v>15</v>
      </c>
      <c r="F167" t="s">
        <v>502</v>
      </c>
      <c r="G167">
        <v>1</v>
      </c>
      <c r="K167" t="s">
        <v>20</v>
      </c>
      <c r="L167" t="s">
        <v>503</v>
      </c>
      <c r="M167" s="3" t="str">
        <f>HYPERLINK("..\..\Imagery\ScannedPhotos\2009\CG09-009.jpg")</f>
        <v>..\..\Imagery\ScannedPhotos\2009\CG09-009.jpg</v>
      </c>
    </row>
    <row r="168" spans="1:13" x14ac:dyDescent="0.25">
      <c r="A168" t="s">
        <v>504</v>
      </c>
      <c r="B168">
        <v>390353</v>
      </c>
      <c r="C168">
        <v>5831999</v>
      </c>
      <c r="D168">
        <v>21</v>
      </c>
      <c r="E168" t="s">
        <v>15</v>
      </c>
      <c r="F168" t="s">
        <v>505</v>
      </c>
      <c r="G168">
        <v>2</v>
      </c>
      <c r="K168" t="s">
        <v>20</v>
      </c>
      <c r="L168" t="s">
        <v>506</v>
      </c>
      <c r="M168" s="3" t="str">
        <f>HYPERLINK("..\..\Imagery\ScannedPhotos\2008\CG08-048.1.jpg")</f>
        <v>..\..\Imagery\ScannedPhotos\2008\CG08-048.1.jpg</v>
      </c>
    </row>
    <row r="169" spans="1:13" x14ac:dyDescent="0.25">
      <c r="A169" t="s">
        <v>504</v>
      </c>
      <c r="B169">
        <v>390353</v>
      </c>
      <c r="C169">
        <v>5831999</v>
      </c>
      <c r="D169">
        <v>21</v>
      </c>
      <c r="E169" t="s">
        <v>15</v>
      </c>
      <c r="F169" t="s">
        <v>507</v>
      </c>
      <c r="G169">
        <v>2</v>
      </c>
      <c r="K169" t="s">
        <v>20</v>
      </c>
      <c r="L169" t="s">
        <v>506</v>
      </c>
      <c r="M169" s="3" t="str">
        <f>HYPERLINK("..\..\Imagery\ScannedPhotos\2008\CG08-048.2.jpg")</f>
        <v>..\..\Imagery\ScannedPhotos\2008\CG08-048.2.jpg</v>
      </c>
    </row>
    <row r="170" spans="1:13" x14ac:dyDescent="0.25">
      <c r="A170" t="s">
        <v>508</v>
      </c>
      <c r="B170">
        <v>403892</v>
      </c>
      <c r="C170">
        <v>5844263</v>
      </c>
      <c r="D170">
        <v>21</v>
      </c>
      <c r="E170" t="s">
        <v>15</v>
      </c>
      <c r="F170" t="s">
        <v>509</v>
      </c>
      <c r="G170">
        <v>1</v>
      </c>
      <c r="K170" t="s">
        <v>20</v>
      </c>
      <c r="L170" t="s">
        <v>503</v>
      </c>
      <c r="M170" s="3" t="str">
        <f>HYPERLINK("..\..\Imagery\ScannedPhotos\2007\CG07-027.jpg")</f>
        <v>..\..\Imagery\ScannedPhotos\2007\CG07-027.jpg</v>
      </c>
    </row>
    <row r="171" spans="1:13" x14ac:dyDescent="0.25">
      <c r="A171" t="s">
        <v>510</v>
      </c>
      <c r="B171">
        <v>408614</v>
      </c>
      <c r="C171">
        <v>5852516</v>
      </c>
      <c r="D171">
        <v>21</v>
      </c>
      <c r="E171" t="s">
        <v>15</v>
      </c>
      <c r="F171" t="s">
        <v>511</v>
      </c>
      <c r="G171">
        <v>8</v>
      </c>
      <c r="K171" t="s">
        <v>56</v>
      </c>
      <c r="L171" t="s">
        <v>512</v>
      </c>
      <c r="M171" s="3" t="str">
        <f>HYPERLINK("..\..\Imagery\ScannedPhotos\2007\CG07-023.6.jpg")</f>
        <v>..\..\Imagery\ScannedPhotos\2007\CG07-023.6.jpg</v>
      </c>
    </row>
    <row r="172" spans="1:13" x14ac:dyDescent="0.25">
      <c r="A172" t="s">
        <v>510</v>
      </c>
      <c r="B172">
        <v>408614</v>
      </c>
      <c r="C172">
        <v>5852516</v>
      </c>
      <c r="D172">
        <v>21</v>
      </c>
      <c r="E172" t="s">
        <v>15</v>
      </c>
      <c r="F172" t="s">
        <v>513</v>
      </c>
      <c r="G172">
        <v>8</v>
      </c>
      <c r="K172" t="s">
        <v>56</v>
      </c>
      <c r="L172" t="s">
        <v>512</v>
      </c>
      <c r="M172" s="3" t="str">
        <f>HYPERLINK("..\..\Imagery\ScannedPhotos\2007\CG07-023.7.jpg")</f>
        <v>..\..\Imagery\ScannedPhotos\2007\CG07-023.7.jpg</v>
      </c>
    </row>
    <row r="173" spans="1:13" x14ac:dyDescent="0.25">
      <c r="A173" t="s">
        <v>510</v>
      </c>
      <c r="B173">
        <v>408614</v>
      </c>
      <c r="C173">
        <v>5852516</v>
      </c>
      <c r="D173">
        <v>21</v>
      </c>
      <c r="E173" t="s">
        <v>15</v>
      </c>
      <c r="F173" t="s">
        <v>514</v>
      </c>
      <c r="G173">
        <v>8</v>
      </c>
      <c r="K173" t="s">
        <v>56</v>
      </c>
      <c r="L173" t="s">
        <v>512</v>
      </c>
      <c r="M173" s="3" t="str">
        <f>HYPERLINK("..\..\Imagery\ScannedPhotos\2007\CG07-023.8.jpg")</f>
        <v>..\..\Imagery\ScannedPhotos\2007\CG07-023.8.jpg</v>
      </c>
    </row>
    <row r="174" spans="1:13" x14ac:dyDescent="0.25">
      <c r="A174" t="s">
        <v>515</v>
      </c>
      <c r="B174">
        <v>444343</v>
      </c>
      <c r="C174">
        <v>5875585</v>
      </c>
      <c r="D174">
        <v>21</v>
      </c>
      <c r="E174" t="s">
        <v>15</v>
      </c>
      <c r="F174" t="s">
        <v>516</v>
      </c>
      <c r="G174">
        <v>2</v>
      </c>
      <c r="K174" t="s">
        <v>56</v>
      </c>
      <c r="L174" t="s">
        <v>462</v>
      </c>
      <c r="M174" s="3" t="str">
        <f>HYPERLINK("..\..\Imagery\ScannedPhotos\2007\CG07-031.1.jpg")</f>
        <v>..\..\Imagery\ScannedPhotos\2007\CG07-031.1.jpg</v>
      </c>
    </row>
    <row r="175" spans="1:13" x14ac:dyDescent="0.25">
      <c r="A175" t="s">
        <v>517</v>
      </c>
      <c r="B175">
        <v>435295</v>
      </c>
      <c r="C175">
        <v>5872575</v>
      </c>
      <c r="D175">
        <v>21</v>
      </c>
      <c r="E175" t="s">
        <v>15</v>
      </c>
      <c r="F175" t="s">
        <v>518</v>
      </c>
      <c r="G175">
        <v>1</v>
      </c>
      <c r="K175" t="s">
        <v>56</v>
      </c>
      <c r="L175" t="s">
        <v>519</v>
      </c>
      <c r="M175" s="3" t="str">
        <f>HYPERLINK("..\..\Imagery\ScannedPhotos\2007\CG07-012.jpg")</f>
        <v>..\..\Imagery\ScannedPhotos\2007\CG07-012.jpg</v>
      </c>
    </row>
    <row r="176" spans="1:13" x14ac:dyDescent="0.25">
      <c r="A176" t="s">
        <v>520</v>
      </c>
      <c r="B176">
        <v>382018</v>
      </c>
      <c r="C176">
        <v>6092812</v>
      </c>
      <c r="D176">
        <v>21</v>
      </c>
      <c r="E176" t="s">
        <v>15</v>
      </c>
      <c r="F176" t="s">
        <v>521</v>
      </c>
      <c r="G176">
        <v>1</v>
      </c>
      <c r="H176" t="s">
        <v>208</v>
      </c>
      <c r="I176" t="s">
        <v>409</v>
      </c>
      <c r="J176" t="s">
        <v>210</v>
      </c>
      <c r="K176" t="s">
        <v>20</v>
      </c>
      <c r="L176" t="s">
        <v>522</v>
      </c>
      <c r="M176" s="3" t="str">
        <f>HYPERLINK("..\..\Imagery\ScannedPhotos\1979\AD79-130.jpg")</f>
        <v>..\..\Imagery\ScannedPhotos\1979\AD79-130.jpg</v>
      </c>
    </row>
    <row r="177" spans="1:13" x14ac:dyDescent="0.25">
      <c r="A177" t="s">
        <v>523</v>
      </c>
      <c r="B177">
        <v>575599</v>
      </c>
      <c r="C177">
        <v>5756653</v>
      </c>
      <c r="D177">
        <v>21</v>
      </c>
      <c r="E177" t="s">
        <v>15</v>
      </c>
      <c r="F177" t="s">
        <v>524</v>
      </c>
      <c r="G177">
        <v>16</v>
      </c>
      <c r="K177" t="s">
        <v>20</v>
      </c>
      <c r="L177" t="s">
        <v>525</v>
      </c>
      <c r="M177" s="3" t="str">
        <f>HYPERLINK("..\..\Imagery\ScannedPhotos\1993\VN93-662.12.jpg")</f>
        <v>..\..\Imagery\ScannedPhotos\1993\VN93-662.12.jpg</v>
      </c>
    </row>
    <row r="178" spans="1:13" x14ac:dyDescent="0.25">
      <c r="A178" t="s">
        <v>523</v>
      </c>
      <c r="B178">
        <v>575599</v>
      </c>
      <c r="C178">
        <v>5756653</v>
      </c>
      <c r="D178">
        <v>21</v>
      </c>
      <c r="E178" t="s">
        <v>15</v>
      </c>
      <c r="F178" t="s">
        <v>526</v>
      </c>
      <c r="G178">
        <v>16</v>
      </c>
      <c r="K178" t="s">
        <v>20</v>
      </c>
      <c r="L178" t="s">
        <v>527</v>
      </c>
      <c r="M178" s="3" t="str">
        <f>HYPERLINK("..\..\Imagery\ScannedPhotos\1993\VN93-662.13.jpg")</f>
        <v>..\..\Imagery\ScannedPhotos\1993\VN93-662.13.jpg</v>
      </c>
    </row>
    <row r="179" spans="1:13" x14ac:dyDescent="0.25">
      <c r="A179" t="s">
        <v>523</v>
      </c>
      <c r="B179">
        <v>575599</v>
      </c>
      <c r="C179">
        <v>5756653</v>
      </c>
      <c r="D179">
        <v>21</v>
      </c>
      <c r="E179" t="s">
        <v>15</v>
      </c>
      <c r="F179" t="s">
        <v>528</v>
      </c>
      <c r="G179">
        <v>16</v>
      </c>
      <c r="K179" t="s">
        <v>20</v>
      </c>
      <c r="L179" t="s">
        <v>529</v>
      </c>
      <c r="M179" s="3" t="str">
        <f>HYPERLINK("..\..\Imagery\ScannedPhotos\1993\VN93-662.14.jpg")</f>
        <v>..\..\Imagery\ScannedPhotos\1993\VN93-662.14.jpg</v>
      </c>
    </row>
    <row r="180" spans="1:13" x14ac:dyDescent="0.25">
      <c r="A180" t="s">
        <v>523</v>
      </c>
      <c r="B180">
        <v>575599</v>
      </c>
      <c r="C180">
        <v>5756653</v>
      </c>
      <c r="D180">
        <v>21</v>
      </c>
      <c r="E180" t="s">
        <v>15</v>
      </c>
      <c r="F180" t="s">
        <v>530</v>
      </c>
      <c r="G180">
        <v>16</v>
      </c>
      <c r="K180" t="s">
        <v>20</v>
      </c>
      <c r="L180" t="s">
        <v>531</v>
      </c>
      <c r="M180" s="3" t="str">
        <f>HYPERLINK("..\..\Imagery\ScannedPhotos\1993\VN93-662.15.jpg")</f>
        <v>..\..\Imagery\ScannedPhotos\1993\VN93-662.15.jpg</v>
      </c>
    </row>
    <row r="181" spans="1:13" x14ac:dyDescent="0.25">
      <c r="A181" t="s">
        <v>523</v>
      </c>
      <c r="B181">
        <v>575599</v>
      </c>
      <c r="C181">
        <v>5756653</v>
      </c>
      <c r="D181">
        <v>21</v>
      </c>
      <c r="E181" t="s">
        <v>15</v>
      </c>
      <c r="F181" t="s">
        <v>532</v>
      </c>
      <c r="G181">
        <v>16</v>
      </c>
      <c r="K181" t="s">
        <v>20</v>
      </c>
      <c r="L181" t="s">
        <v>525</v>
      </c>
      <c r="M181" s="3" t="str">
        <f>HYPERLINK("..\..\Imagery\ScannedPhotos\1993\VN93-662.16.jpg")</f>
        <v>..\..\Imagery\ScannedPhotos\1993\VN93-662.16.jpg</v>
      </c>
    </row>
    <row r="182" spans="1:13" x14ac:dyDescent="0.25">
      <c r="A182" t="s">
        <v>533</v>
      </c>
      <c r="B182">
        <v>575358</v>
      </c>
      <c r="C182">
        <v>5756555</v>
      </c>
      <c r="D182">
        <v>21</v>
      </c>
      <c r="E182" t="s">
        <v>15</v>
      </c>
      <c r="F182" t="s">
        <v>534</v>
      </c>
      <c r="G182">
        <v>13</v>
      </c>
      <c r="K182" t="s">
        <v>535</v>
      </c>
      <c r="L182" t="s">
        <v>536</v>
      </c>
      <c r="M182" s="3" t="str">
        <f>HYPERLINK("..\..\Imagery\ScannedPhotos\1993\VN93-661.3.jpg")</f>
        <v>..\..\Imagery\ScannedPhotos\1993\VN93-661.3.jpg</v>
      </c>
    </row>
    <row r="183" spans="1:13" x14ac:dyDescent="0.25">
      <c r="A183" t="s">
        <v>533</v>
      </c>
      <c r="B183">
        <v>575358</v>
      </c>
      <c r="C183">
        <v>5756555</v>
      </c>
      <c r="D183">
        <v>21</v>
      </c>
      <c r="E183" t="s">
        <v>15</v>
      </c>
      <c r="F183" t="s">
        <v>537</v>
      </c>
      <c r="G183">
        <v>13</v>
      </c>
      <c r="K183" t="s">
        <v>20</v>
      </c>
      <c r="L183" t="s">
        <v>538</v>
      </c>
      <c r="M183" s="3" t="str">
        <f>HYPERLINK("..\..\Imagery\ScannedPhotos\1993\VN93-661.4.jpg")</f>
        <v>..\..\Imagery\ScannedPhotos\1993\VN93-661.4.jpg</v>
      </c>
    </row>
    <row r="184" spans="1:13" x14ac:dyDescent="0.25">
      <c r="A184" t="s">
        <v>533</v>
      </c>
      <c r="B184">
        <v>575358</v>
      </c>
      <c r="C184">
        <v>5756555</v>
      </c>
      <c r="D184">
        <v>21</v>
      </c>
      <c r="E184" t="s">
        <v>15</v>
      </c>
      <c r="F184" t="s">
        <v>539</v>
      </c>
      <c r="G184">
        <v>13</v>
      </c>
      <c r="K184" t="s">
        <v>20</v>
      </c>
      <c r="L184" t="s">
        <v>538</v>
      </c>
      <c r="M184" s="3" t="str">
        <f>HYPERLINK("..\..\Imagery\ScannedPhotos\1993\VN93-661.5.jpg")</f>
        <v>..\..\Imagery\ScannedPhotos\1993\VN93-661.5.jpg</v>
      </c>
    </row>
    <row r="185" spans="1:13" x14ac:dyDescent="0.25">
      <c r="A185" t="s">
        <v>533</v>
      </c>
      <c r="B185">
        <v>575358</v>
      </c>
      <c r="C185">
        <v>5756555</v>
      </c>
      <c r="D185">
        <v>21</v>
      </c>
      <c r="E185" t="s">
        <v>15</v>
      </c>
      <c r="F185" t="s">
        <v>540</v>
      </c>
      <c r="G185">
        <v>13</v>
      </c>
      <c r="K185" t="s">
        <v>56</v>
      </c>
      <c r="L185" t="s">
        <v>541</v>
      </c>
      <c r="M185" s="3" t="str">
        <f>HYPERLINK("..\..\Imagery\ScannedPhotos\1993\VN93-661.6.jpg")</f>
        <v>..\..\Imagery\ScannedPhotos\1993\VN93-661.6.jpg</v>
      </c>
    </row>
    <row r="186" spans="1:13" x14ac:dyDescent="0.25">
      <c r="A186" t="s">
        <v>533</v>
      </c>
      <c r="B186">
        <v>575358</v>
      </c>
      <c r="C186">
        <v>5756555</v>
      </c>
      <c r="D186">
        <v>21</v>
      </c>
      <c r="E186" t="s">
        <v>15</v>
      </c>
      <c r="F186" t="s">
        <v>542</v>
      </c>
      <c r="G186">
        <v>13</v>
      </c>
      <c r="K186" t="s">
        <v>56</v>
      </c>
      <c r="L186" t="s">
        <v>541</v>
      </c>
      <c r="M186" s="3" t="str">
        <f>HYPERLINK("..\..\Imagery\ScannedPhotos\1993\VN93-661.7.jpg")</f>
        <v>..\..\Imagery\ScannedPhotos\1993\VN93-661.7.jpg</v>
      </c>
    </row>
    <row r="187" spans="1:13" x14ac:dyDescent="0.25">
      <c r="A187" t="s">
        <v>533</v>
      </c>
      <c r="B187">
        <v>575358</v>
      </c>
      <c r="C187">
        <v>5756555</v>
      </c>
      <c r="D187">
        <v>21</v>
      </c>
      <c r="E187" t="s">
        <v>15</v>
      </c>
      <c r="F187" t="s">
        <v>543</v>
      </c>
      <c r="G187">
        <v>13</v>
      </c>
      <c r="K187" t="s">
        <v>56</v>
      </c>
      <c r="L187" t="s">
        <v>541</v>
      </c>
      <c r="M187" s="3" t="str">
        <f>HYPERLINK("..\..\Imagery\ScannedPhotos\1993\VN93-661.8.jpg")</f>
        <v>..\..\Imagery\ScannedPhotos\1993\VN93-661.8.jpg</v>
      </c>
    </row>
    <row r="188" spans="1:13" x14ac:dyDescent="0.25">
      <c r="A188" t="s">
        <v>533</v>
      </c>
      <c r="B188">
        <v>575358</v>
      </c>
      <c r="C188">
        <v>5756555</v>
      </c>
      <c r="D188">
        <v>21</v>
      </c>
      <c r="E188" t="s">
        <v>15</v>
      </c>
      <c r="F188" t="s">
        <v>544</v>
      </c>
      <c r="G188">
        <v>13</v>
      </c>
      <c r="K188" t="s">
        <v>535</v>
      </c>
      <c r="L188" t="s">
        <v>545</v>
      </c>
      <c r="M188" s="3" t="str">
        <f>HYPERLINK("..\..\Imagery\ScannedPhotos\1993\VN93-661.9.jpg")</f>
        <v>..\..\Imagery\ScannedPhotos\1993\VN93-661.9.jpg</v>
      </c>
    </row>
    <row r="189" spans="1:13" x14ac:dyDescent="0.25">
      <c r="A189" t="s">
        <v>533</v>
      </c>
      <c r="B189">
        <v>575358</v>
      </c>
      <c r="C189">
        <v>5756555</v>
      </c>
      <c r="D189">
        <v>21</v>
      </c>
      <c r="E189" t="s">
        <v>15</v>
      </c>
      <c r="F189" t="s">
        <v>546</v>
      </c>
      <c r="G189">
        <v>13</v>
      </c>
      <c r="K189" t="s">
        <v>20</v>
      </c>
      <c r="L189" t="s">
        <v>547</v>
      </c>
      <c r="M189" s="3" t="str">
        <f>HYPERLINK("..\..\Imagery\ScannedPhotos\1993\VN93-661.10.jpg")</f>
        <v>..\..\Imagery\ScannedPhotos\1993\VN93-661.10.jpg</v>
      </c>
    </row>
    <row r="190" spans="1:13" x14ac:dyDescent="0.25">
      <c r="A190" t="s">
        <v>533</v>
      </c>
      <c r="B190">
        <v>575358</v>
      </c>
      <c r="C190">
        <v>5756555</v>
      </c>
      <c r="D190">
        <v>21</v>
      </c>
      <c r="E190" t="s">
        <v>15</v>
      </c>
      <c r="F190" t="s">
        <v>548</v>
      </c>
      <c r="G190">
        <v>13</v>
      </c>
      <c r="K190" t="s">
        <v>20</v>
      </c>
      <c r="L190" t="s">
        <v>549</v>
      </c>
      <c r="M190" s="3" t="str">
        <f>HYPERLINK("..\..\Imagery\ScannedPhotos\1993\VN93-661.12.jpg")</f>
        <v>..\..\Imagery\ScannedPhotos\1993\VN93-661.12.jpg</v>
      </c>
    </row>
    <row r="191" spans="1:13" x14ac:dyDescent="0.25">
      <c r="A191" t="s">
        <v>533</v>
      </c>
      <c r="B191">
        <v>575358</v>
      </c>
      <c r="C191">
        <v>5756555</v>
      </c>
      <c r="D191">
        <v>21</v>
      </c>
      <c r="E191" t="s">
        <v>15</v>
      </c>
      <c r="F191" t="s">
        <v>550</v>
      </c>
      <c r="G191">
        <v>13</v>
      </c>
      <c r="K191" t="s">
        <v>20</v>
      </c>
      <c r="L191" t="s">
        <v>549</v>
      </c>
      <c r="M191" s="3" t="str">
        <f>HYPERLINK("..\..\Imagery\ScannedPhotos\1993\VN93-661.13.jpg")</f>
        <v>..\..\Imagery\ScannedPhotos\1993\VN93-661.13.jpg</v>
      </c>
    </row>
    <row r="192" spans="1:13" x14ac:dyDescent="0.25">
      <c r="A192" t="s">
        <v>551</v>
      </c>
      <c r="B192">
        <v>567548</v>
      </c>
      <c r="C192">
        <v>5772196</v>
      </c>
      <c r="D192">
        <v>21</v>
      </c>
      <c r="E192" t="s">
        <v>15</v>
      </c>
      <c r="F192" t="s">
        <v>552</v>
      </c>
      <c r="G192">
        <v>4</v>
      </c>
      <c r="K192" t="s">
        <v>20</v>
      </c>
      <c r="L192" t="s">
        <v>553</v>
      </c>
      <c r="M192" s="3" t="str">
        <f>HYPERLINK("..\..\Imagery\ScannedPhotos\1987\CC87-100.2.jpg")</f>
        <v>..\..\Imagery\ScannedPhotos\1987\CC87-100.2.jpg</v>
      </c>
    </row>
    <row r="193" spans="1:13" x14ac:dyDescent="0.25">
      <c r="A193" t="s">
        <v>554</v>
      </c>
      <c r="B193">
        <v>411624</v>
      </c>
      <c r="C193">
        <v>5904951</v>
      </c>
      <c r="D193">
        <v>21</v>
      </c>
      <c r="E193" t="s">
        <v>15</v>
      </c>
      <c r="F193" t="s">
        <v>555</v>
      </c>
      <c r="G193">
        <v>3</v>
      </c>
      <c r="H193" t="s">
        <v>556</v>
      </c>
      <c r="I193" t="s">
        <v>386</v>
      </c>
      <c r="J193" t="s">
        <v>557</v>
      </c>
      <c r="K193" t="s">
        <v>56</v>
      </c>
      <c r="L193" t="s">
        <v>558</v>
      </c>
      <c r="M193" s="3" t="str">
        <f>HYPERLINK("..\..\Imagery\ScannedPhotos\1995\VN95-060.3.jpg")</f>
        <v>..\..\Imagery\ScannedPhotos\1995\VN95-060.3.jpg</v>
      </c>
    </row>
    <row r="194" spans="1:13" x14ac:dyDescent="0.25">
      <c r="A194" t="s">
        <v>554</v>
      </c>
      <c r="B194">
        <v>411624</v>
      </c>
      <c r="C194">
        <v>5904951</v>
      </c>
      <c r="D194">
        <v>21</v>
      </c>
      <c r="E194" t="s">
        <v>15</v>
      </c>
      <c r="F194" t="s">
        <v>559</v>
      </c>
      <c r="G194">
        <v>3</v>
      </c>
      <c r="H194" t="s">
        <v>556</v>
      </c>
      <c r="I194" t="s">
        <v>94</v>
      </c>
      <c r="J194" t="s">
        <v>557</v>
      </c>
      <c r="K194" t="s">
        <v>56</v>
      </c>
      <c r="L194" t="s">
        <v>558</v>
      </c>
      <c r="M194" s="3" t="str">
        <f>HYPERLINK("..\..\Imagery\ScannedPhotos\1995\VN95-060.1.jpg")</f>
        <v>..\..\Imagery\ScannedPhotos\1995\VN95-060.1.jpg</v>
      </c>
    </row>
    <row r="195" spans="1:13" x14ac:dyDescent="0.25">
      <c r="A195" t="s">
        <v>560</v>
      </c>
      <c r="B195">
        <v>409765</v>
      </c>
      <c r="C195">
        <v>5905748</v>
      </c>
      <c r="D195">
        <v>21</v>
      </c>
      <c r="E195" t="s">
        <v>15</v>
      </c>
      <c r="F195" t="s">
        <v>561</v>
      </c>
      <c r="G195">
        <v>2</v>
      </c>
      <c r="H195" t="s">
        <v>562</v>
      </c>
      <c r="I195" t="s">
        <v>79</v>
      </c>
      <c r="J195" t="s">
        <v>563</v>
      </c>
      <c r="K195" t="s">
        <v>20</v>
      </c>
      <c r="L195" t="s">
        <v>564</v>
      </c>
      <c r="M195" s="3" t="str">
        <f>HYPERLINK("..\..\Imagery\ScannedPhotos\1995\VN95-074.1.jpg")</f>
        <v>..\..\Imagery\ScannedPhotos\1995\VN95-074.1.jpg</v>
      </c>
    </row>
    <row r="196" spans="1:13" x14ac:dyDescent="0.25">
      <c r="A196" t="s">
        <v>560</v>
      </c>
      <c r="B196">
        <v>409765</v>
      </c>
      <c r="C196">
        <v>5905748</v>
      </c>
      <c r="D196">
        <v>21</v>
      </c>
      <c r="E196" t="s">
        <v>15</v>
      </c>
      <c r="F196" t="s">
        <v>565</v>
      </c>
      <c r="G196">
        <v>2</v>
      </c>
      <c r="H196" t="s">
        <v>562</v>
      </c>
      <c r="I196" t="s">
        <v>281</v>
      </c>
      <c r="J196" t="s">
        <v>563</v>
      </c>
      <c r="K196" t="s">
        <v>20</v>
      </c>
      <c r="L196" t="s">
        <v>566</v>
      </c>
      <c r="M196" s="3" t="str">
        <f>HYPERLINK("..\..\Imagery\ScannedPhotos\1995\VN95-074.2.jpg")</f>
        <v>..\..\Imagery\ScannedPhotos\1995\VN95-074.2.jpg</v>
      </c>
    </row>
    <row r="197" spans="1:13" x14ac:dyDescent="0.25">
      <c r="A197" t="s">
        <v>567</v>
      </c>
      <c r="B197">
        <v>519977</v>
      </c>
      <c r="C197">
        <v>5723475</v>
      </c>
      <c r="D197">
        <v>21</v>
      </c>
      <c r="E197" t="s">
        <v>15</v>
      </c>
      <c r="F197" t="s">
        <v>568</v>
      </c>
      <c r="G197">
        <v>4</v>
      </c>
      <c r="H197" t="s">
        <v>569</v>
      </c>
      <c r="I197" t="s">
        <v>281</v>
      </c>
      <c r="J197" t="s">
        <v>570</v>
      </c>
      <c r="K197" t="s">
        <v>56</v>
      </c>
      <c r="L197" t="s">
        <v>571</v>
      </c>
      <c r="M197" s="3" t="str">
        <f>HYPERLINK("..\..\Imagery\ScannedPhotos\1993\CG93-183.3.jpg")</f>
        <v>..\..\Imagery\ScannedPhotos\1993\CG93-183.3.jpg</v>
      </c>
    </row>
    <row r="198" spans="1:13" x14ac:dyDescent="0.25">
      <c r="A198" t="s">
        <v>567</v>
      </c>
      <c r="B198">
        <v>519977</v>
      </c>
      <c r="C198">
        <v>5723475</v>
      </c>
      <c r="D198">
        <v>21</v>
      </c>
      <c r="E198" t="s">
        <v>15</v>
      </c>
      <c r="F198" t="s">
        <v>572</v>
      </c>
      <c r="G198">
        <v>4</v>
      </c>
      <c r="H198" t="s">
        <v>569</v>
      </c>
      <c r="I198" t="s">
        <v>294</v>
      </c>
      <c r="J198" t="s">
        <v>570</v>
      </c>
      <c r="K198" t="s">
        <v>20</v>
      </c>
      <c r="L198" t="s">
        <v>573</v>
      </c>
      <c r="M198" s="3" t="str">
        <f>HYPERLINK("..\..\Imagery\ScannedPhotos\1993\CG93-183.1.jpg")</f>
        <v>..\..\Imagery\ScannedPhotos\1993\CG93-183.1.jpg</v>
      </c>
    </row>
    <row r="199" spans="1:13" x14ac:dyDescent="0.25">
      <c r="A199" t="s">
        <v>567</v>
      </c>
      <c r="B199">
        <v>519977</v>
      </c>
      <c r="C199">
        <v>5723475</v>
      </c>
      <c r="D199">
        <v>21</v>
      </c>
      <c r="E199" t="s">
        <v>15</v>
      </c>
      <c r="F199" t="s">
        <v>574</v>
      </c>
      <c r="G199">
        <v>4</v>
      </c>
      <c r="H199" t="s">
        <v>569</v>
      </c>
      <c r="I199" t="s">
        <v>79</v>
      </c>
      <c r="J199" t="s">
        <v>570</v>
      </c>
      <c r="K199" t="s">
        <v>20</v>
      </c>
      <c r="L199" t="s">
        <v>575</v>
      </c>
      <c r="M199" s="3" t="str">
        <f>HYPERLINK("..\..\Imagery\ScannedPhotos\1993\CG93-183.2.jpg")</f>
        <v>..\..\Imagery\ScannedPhotos\1993\CG93-183.2.jpg</v>
      </c>
    </row>
    <row r="200" spans="1:13" x14ac:dyDescent="0.25">
      <c r="A200" t="s">
        <v>576</v>
      </c>
      <c r="B200">
        <v>519570</v>
      </c>
      <c r="C200">
        <v>5718820</v>
      </c>
      <c r="D200">
        <v>21</v>
      </c>
      <c r="E200" t="s">
        <v>15</v>
      </c>
      <c r="F200" t="s">
        <v>577</v>
      </c>
      <c r="G200">
        <v>1</v>
      </c>
      <c r="H200" t="s">
        <v>569</v>
      </c>
      <c r="I200" t="s">
        <v>35</v>
      </c>
      <c r="J200" t="s">
        <v>570</v>
      </c>
      <c r="K200" t="s">
        <v>56</v>
      </c>
      <c r="L200" t="s">
        <v>578</v>
      </c>
      <c r="M200" s="3" t="str">
        <f>HYPERLINK("..\..\Imagery\ScannedPhotos\1993\CG93-188.jpg")</f>
        <v>..\..\Imagery\ScannedPhotos\1993\CG93-188.jpg</v>
      </c>
    </row>
    <row r="201" spans="1:13" x14ac:dyDescent="0.25">
      <c r="A201" t="s">
        <v>579</v>
      </c>
      <c r="B201">
        <v>520506</v>
      </c>
      <c r="C201">
        <v>5718736</v>
      </c>
      <c r="D201">
        <v>21</v>
      </c>
      <c r="E201" t="s">
        <v>15</v>
      </c>
      <c r="F201" t="s">
        <v>580</v>
      </c>
      <c r="G201">
        <v>1</v>
      </c>
      <c r="H201" t="s">
        <v>569</v>
      </c>
      <c r="I201" t="s">
        <v>69</v>
      </c>
      <c r="J201" t="s">
        <v>570</v>
      </c>
      <c r="K201" t="s">
        <v>20</v>
      </c>
      <c r="L201" t="s">
        <v>581</v>
      </c>
      <c r="M201" s="3" t="str">
        <f>HYPERLINK("..\..\Imagery\ScannedPhotos\1993\CG93-200.jpg")</f>
        <v>..\..\Imagery\ScannedPhotos\1993\CG93-200.jpg</v>
      </c>
    </row>
    <row r="202" spans="1:13" x14ac:dyDescent="0.25">
      <c r="A202" t="s">
        <v>582</v>
      </c>
      <c r="B202">
        <v>520637</v>
      </c>
      <c r="C202">
        <v>5718597</v>
      </c>
      <c r="D202">
        <v>21</v>
      </c>
      <c r="E202" t="s">
        <v>15</v>
      </c>
      <c r="F202" t="s">
        <v>583</v>
      </c>
      <c r="G202">
        <v>2</v>
      </c>
      <c r="H202" t="s">
        <v>569</v>
      </c>
      <c r="I202" t="s">
        <v>41</v>
      </c>
      <c r="J202" t="s">
        <v>570</v>
      </c>
      <c r="K202" t="s">
        <v>20</v>
      </c>
      <c r="L202" t="s">
        <v>584</v>
      </c>
      <c r="M202" s="3" t="str">
        <f>HYPERLINK("..\..\Imagery\ScannedPhotos\1993\CG93-201.2.jpg")</f>
        <v>..\..\Imagery\ScannedPhotos\1993\CG93-201.2.jpg</v>
      </c>
    </row>
    <row r="203" spans="1:13" x14ac:dyDescent="0.25">
      <c r="A203" t="s">
        <v>582</v>
      </c>
      <c r="B203">
        <v>520637</v>
      </c>
      <c r="C203">
        <v>5718597</v>
      </c>
      <c r="D203">
        <v>21</v>
      </c>
      <c r="E203" t="s">
        <v>15</v>
      </c>
      <c r="F203" t="s">
        <v>585</v>
      </c>
      <c r="G203">
        <v>2</v>
      </c>
      <c r="H203" t="s">
        <v>569</v>
      </c>
      <c r="I203" t="s">
        <v>74</v>
      </c>
      <c r="J203" t="s">
        <v>570</v>
      </c>
      <c r="K203" t="s">
        <v>20</v>
      </c>
      <c r="L203" t="s">
        <v>586</v>
      </c>
      <c r="M203" s="3" t="str">
        <f>HYPERLINK("..\..\Imagery\ScannedPhotos\1993\CG93-201.1.jpg")</f>
        <v>..\..\Imagery\ScannedPhotos\1993\CG93-201.1.jpg</v>
      </c>
    </row>
    <row r="204" spans="1:13" x14ac:dyDescent="0.25">
      <c r="A204" t="s">
        <v>587</v>
      </c>
      <c r="B204">
        <v>519840</v>
      </c>
      <c r="C204">
        <v>5717930</v>
      </c>
      <c r="D204">
        <v>21</v>
      </c>
      <c r="E204" t="s">
        <v>15</v>
      </c>
      <c r="F204" t="s">
        <v>588</v>
      </c>
      <c r="G204">
        <v>4</v>
      </c>
      <c r="H204" t="s">
        <v>569</v>
      </c>
      <c r="I204" t="s">
        <v>375</v>
      </c>
      <c r="J204" t="s">
        <v>570</v>
      </c>
      <c r="K204" t="s">
        <v>56</v>
      </c>
      <c r="L204" t="s">
        <v>589</v>
      </c>
      <c r="M204" s="3" t="str">
        <f>HYPERLINK("..\..\Imagery\ScannedPhotos\1993\CG93-204.2.jpg")</f>
        <v>..\..\Imagery\ScannedPhotos\1993\CG93-204.2.jpg</v>
      </c>
    </row>
    <row r="205" spans="1:13" x14ac:dyDescent="0.25">
      <c r="A205" t="s">
        <v>587</v>
      </c>
      <c r="B205">
        <v>519840</v>
      </c>
      <c r="C205">
        <v>5717930</v>
      </c>
      <c r="D205">
        <v>21</v>
      </c>
      <c r="E205" t="s">
        <v>15</v>
      </c>
      <c r="F205" t="s">
        <v>590</v>
      </c>
      <c r="G205">
        <v>4</v>
      </c>
      <c r="H205" t="s">
        <v>569</v>
      </c>
      <c r="I205" t="s">
        <v>85</v>
      </c>
      <c r="J205" t="s">
        <v>570</v>
      </c>
      <c r="K205" t="s">
        <v>20</v>
      </c>
      <c r="L205" t="s">
        <v>591</v>
      </c>
      <c r="M205" s="3" t="str">
        <f>HYPERLINK("..\..\Imagery\ScannedPhotos\1993\CG93-204.1.jpg")</f>
        <v>..\..\Imagery\ScannedPhotos\1993\CG93-204.1.jpg</v>
      </c>
    </row>
    <row r="206" spans="1:13" x14ac:dyDescent="0.25">
      <c r="A206" t="s">
        <v>587</v>
      </c>
      <c r="B206">
        <v>519840</v>
      </c>
      <c r="C206">
        <v>5717930</v>
      </c>
      <c r="D206">
        <v>21</v>
      </c>
      <c r="E206" t="s">
        <v>15</v>
      </c>
      <c r="F206" t="s">
        <v>592</v>
      </c>
      <c r="G206">
        <v>4</v>
      </c>
      <c r="H206" t="s">
        <v>569</v>
      </c>
      <c r="I206" t="s">
        <v>94</v>
      </c>
      <c r="J206" t="s">
        <v>570</v>
      </c>
      <c r="K206" t="s">
        <v>20</v>
      </c>
      <c r="L206" t="s">
        <v>593</v>
      </c>
      <c r="M206" s="3" t="str">
        <f>HYPERLINK("..\..\Imagery\ScannedPhotos\1993\CG93-204.3.jpg")</f>
        <v>..\..\Imagery\ScannedPhotos\1993\CG93-204.3.jpg</v>
      </c>
    </row>
    <row r="207" spans="1:13" x14ac:dyDescent="0.25">
      <c r="A207" t="s">
        <v>587</v>
      </c>
      <c r="B207">
        <v>519840</v>
      </c>
      <c r="C207">
        <v>5717930</v>
      </c>
      <c r="D207">
        <v>21</v>
      </c>
      <c r="E207" t="s">
        <v>15</v>
      </c>
      <c r="F207" t="s">
        <v>594</v>
      </c>
      <c r="G207">
        <v>4</v>
      </c>
      <c r="H207" t="s">
        <v>569</v>
      </c>
      <c r="I207" t="s">
        <v>209</v>
      </c>
      <c r="J207" t="s">
        <v>570</v>
      </c>
      <c r="K207" t="s">
        <v>56</v>
      </c>
      <c r="L207" t="s">
        <v>595</v>
      </c>
      <c r="M207" s="3" t="str">
        <f>HYPERLINK("..\..\Imagery\ScannedPhotos\1993\CG93-204.4.jpg")</f>
        <v>..\..\Imagery\ScannedPhotos\1993\CG93-204.4.jpg</v>
      </c>
    </row>
    <row r="208" spans="1:13" x14ac:dyDescent="0.25">
      <c r="A208" t="s">
        <v>596</v>
      </c>
      <c r="B208">
        <v>520167</v>
      </c>
      <c r="C208">
        <v>5717375</v>
      </c>
      <c r="D208">
        <v>21</v>
      </c>
      <c r="E208" t="s">
        <v>15</v>
      </c>
      <c r="F208" t="s">
        <v>597</v>
      </c>
      <c r="G208">
        <v>4</v>
      </c>
      <c r="H208" t="s">
        <v>569</v>
      </c>
      <c r="I208" t="s">
        <v>217</v>
      </c>
      <c r="J208" t="s">
        <v>570</v>
      </c>
      <c r="K208" t="s">
        <v>20</v>
      </c>
      <c r="L208" t="s">
        <v>598</v>
      </c>
      <c r="M208" s="3" t="str">
        <f>HYPERLINK("..\..\Imagery\ScannedPhotos\1993\CG93-206.2.jpg")</f>
        <v>..\..\Imagery\ScannedPhotos\1993\CG93-206.2.jpg</v>
      </c>
    </row>
    <row r="209" spans="1:13" x14ac:dyDescent="0.25">
      <c r="A209" t="s">
        <v>551</v>
      </c>
      <c r="B209">
        <v>567548</v>
      </c>
      <c r="C209">
        <v>5772196</v>
      </c>
      <c r="D209">
        <v>21</v>
      </c>
      <c r="E209" t="s">
        <v>15</v>
      </c>
      <c r="F209" t="s">
        <v>599</v>
      </c>
      <c r="G209">
        <v>4</v>
      </c>
      <c r="K209" t="s">
        <v>20</v>
      </c>
      <c r="L209" t="s">
        <v>600</v>
      </c>
      <c r="M209" s="3" t="str">
        <f>HYPERLINK("..\..\Imagery\ScannedPhotos\1987\CC87-100.3.jpg")</f>
        <v>..\..\Imagery\ScannedPhotos\1987\CC87-100.3.jpg</v>
      </c>
    </row>
    <row r="210" spans="1:13" x14ac:dyDescent="0.25">
      <c r="A210" t="s">
        <v>601</v>
      </c>
      <c r="B210">
        <v>544259</v>
      </c>
      <c r="C210">
        <v>5732140</v>
      </c>
      <c r="D210">
        <v>21</v>
      </c>
      <c r="E210" t="s">
        <v>15</v>
      </c>
      <c r="F210" t="s">
        <v>602</v>
      </c>
      <c r="G210">
        <v>2</v>
      </c>
      <c r="K210" t="s">
        <v>56</v>
      </c>
      <c r="L210" t="s">
        <v>603</v>
      </c>
      <c r="M210" s="3" t="str">
        <f>HYPERLINK("..\..\Imagery\ScannedPhotos\1993\CG93-077.2.jpg")</f>
        <v>..\..\Imagery\ScannedPhotos\1993\CG93-077.2.jpg</v>
      </c>
    </row>
    <row r="211" spans="1:13" x14ac:dyDescent="0.25">
      <c r="A211" t="s">
        <v>604</v>
      </c>
      <c r="B211">
        <v>527665</v>
      </c>
      <c r="C211">
        <v>5873211</v>
      </c>
      <c r="D211">
        <v>21</v>
      </c>
      <c r="E211" t="s">
        <v>15</v>
      </c>
      <c r="F211" t="s">
        <v>605</v>
      </c>
      <c r="G211">
        <v>1</v>
      </c>
      <c r="K211" t="s">
        <v>56</v>
      </c>
      <c r="L211" t="s">
        <v>606</v>
      </c>
      <c r="M211" s="3" t="str">
        <f>HYPERLINK("..\..\Imagery\ScannedPhotos\1985\VN85-241.jpg")</f>
        <v>..\..\Imagery\ScannedPhotos\1985\VN85-241.jpg</v>
      </c>
    </row>
    <row r="212" spans="1:13" x14ac:dyDescent="0.25">
      <c r="A212" t="s">
        <v>607</v>
      </c>
      <c r="B212">
        <v>375596</v>
      </c>
      <c r="C212">
        <v>6121347</v>
      </c>
      <c r="D212">
        <v>21</v>
      </c>
      <c r="E212" t="s">
        <v>15</v>
      </c>
      <c r="F212" t="s">
        <v>608</v>
      </c>
      <c r="G212">
        <v>5</v>
      </c>
      <c r="H212" t="s">
        <v>609</v>
      </c>
      <c r="I212" t="s">
        <v>94</v>
      </c>
      <c r="J212" t="s">
        <v>610</v>
      </c>
      <c r="K212" t="s">
        <v>20</v>
      </c>
      <c r="L212" t="s">
        <v>611</v>
      </c>
      <c r="M212" s="3" t="str">
        <f>HYPERLINK("..\..\Imagery\ScannedPhotos\1979\AD79-009.4.jpg")</f>
        <v>..\..\Imagery\ScannedPhotos\1979\AD79-009.4.jpg</v>
      </c>
    </row>
    <row r="213" spans="1:13" x14ac:dyDescent="0.25">
      <c r="A213" t="s">
        <v>612</v>
      </c>
      <c r="B213">
        <v>491125</v>
      </c>
      <c r="C213">
        <v>5843125</v>
      </c>
      <c r="D213">
        <v>21</v>
      </c>
      <c r="E213" t="s">
        <v>15</v>
      </c>
      <c r="F213" t="s">
        <v>613</v>
      </c>
      <c r="G213">
        <v>4</v>
      </c>
      <c r="H213" t="s">
        <v>40</v>
      </c>
      <c r="I213" t="s">
        <v>18</v>
      </c>
      <c r="J213" t="s">
        <v>42</v>
      </c>
      <c r="K213" t="s">
        <v>20</v>
      </c>
      <c r="L213" t="s">
        <v>614</v>
      </c>
      <c r="M213" s="3" t="str">
        <f>HYPERLINK("..\..\Imagery\ScannedPhotos\1991\DD91-046.4.jpg")</f>
        <v>..\..\Imagery\ScannedPhotos\1991\DD91-046.4.jpg</v>
      </c>
    </row>
    <row r="214" spans="1:13" x14ac:dyDescent="0.25">
      <c r="A214" t="s">
        <v>612</v>
      </c>
      <c r="B214">
        <v>491125</v>
      </c>
      <c r="C214">
        <v>5843125</v>
      </c>
      <c r="D214">
        <v>21</v>
      </c>
      <c r="E214" t="s">
        <v>15</v>
      </c>
      <c r="F214" t="s">
        <v>615</v>
      </c>
      <c r="G214">
        <v>4</v>
      </c>
      <c r="H214" t="s">
        <v>616</v>
      </c>
      <c r="I214" t="s">
        <v>129</v>
      </c>
      <c r="J214" t="s">
        <v>413</v>
      </c>
      <c r="K214" t="s">
        <v>20</v>
      </c>
      <c r="L214" t="s">
        <v>617</v>
      </c>
      <c r="M214" s="3" t="str">
        <f>HYPERLINK("..\..\Imagery\ScannedPhotos\1991\DD91-046.2.jpg")</f>
        <v>..\..\Imagery\ScannedPhotos\1991\DD91-046.2.jpg</v>
      </c>
    </row>
    <row r="215" spans="1:13" x14ac:dyDescent="0.25">
      <c r="A215" t="s">
        <v>612</v>
      </c>
      <c r="B215">
        <v>491125</v>
      </c>
      <c r="C215">
        <v>5843125</v>
      </c>
      <c r="D215">
        <v>21</v>
      </c>
      <c r="E215" t="s">
        <v>15</v>
      </c>
      <c r="F215" t="s">
        <v>618</v>
      </c>
      <c r="G215">
        <v>4</v>
      </c>
      <c r="H215" t="s">
        <v>616</v>
      </c>
      <c r="I215" t="s">
        <v>143</v>
      </c>
      <c r="J215" t="s">
        <v>413</v>
      </c>
      <c r="K215" t="s">
        <v>20</v>
      </c>
      <c r="L215" t="s">
        <v>617</v>
      </c>
      <c r="M215" s="3" t="str">
        <f>HYPERLINK("..\..\Imagery\ScannedPhotos\1991\DD91-046.3.jpg")</f>
        <v>..\..\Imagery\ScannedPhotos\1991\DD91-046.3.jpg</v>
      </c>
    </row>
    <row r="216" spans="1:13" x14ac:dyDescent="0.25">
      <c r="A216" t="s">
        <v>612</v>
      </c>
      <c r="B216">
        <v>491125</v>
      </c>
      <c r="C216">
        <v>5843125</v>
      </c>
      <c r="D216">
        <v>21</v>
      </c>
      <c r="E216" t="s">
        <v>15</v>
      </c>
      <c r="F216" t="s">
        <v>619</v>
      </c>
      <c r="G216">
        <v>4</v>
      </c>
      <c r="H216" t="s">
        <v>616</v>
      </c>
      <c r="I216" t="s">
        <v>132</v>
      </c>
      <c r="J216" t="s">
        <v>413</v>
      </c>
      <c r="K216" t="s">
        <v>20</v>
      </c>
      <c r="L216" t="s">
        <v>617</v>
      </c>
      <c r="M216" s="3" t="str">
        <f>HYPERLINK("..\..\Imagery\ScannedPhotos\1991\DD91-046.1.jpg")</f>
        <v>..\..\Imagery\ScannedPhotos\1991\DD91-046.1.jpg</v>
      </c>
    </row>
    <row r="217" spans="1:13" x14ac:dyDescent="0.25">
      <c r="A217" t="s">
        <v>620</v>
      </c>
      <c r="B217">
        <v>377488</v>
      </c>
      <c r="C217">
        <v>5977094</v>
      </c>
      <c r="D217">
        <v>21</v>
      </c>
      <c r="E217" t="s">
        <v>15</v>
      </c>
      <c r="F217" t="s">
        <v>621</v>
      </c>
      <c r="G217">
        <v>3</v>
      </c>
      <c r="H217" t="s">
        <v>622</v>
      </c>
      <c r="I217" t="s">
        <v>375</v>
      </c>
      <c r="J217" t="s">
        <v>623</v>
      </c>
      <c r="K217" t="s">
        <v>228</v>
      </c>
      <c r="L217" t="s">
        <v>624</v>
      </c>
      <c r="M217" s="3" t="str">
        <f>HYPERLINK("..\..\Imagery\ScannedPhotos\1980\NN80-156.1.jpg")</f>
        <v>..\..\Imagery\ScannedPhotos\1980\NN80-156.1.jpg</v>
      </c>
    </row>
    <row r="218" spans="1:13" x14ac:dyDescent="0.25">
      <c r="A218" t="s">
        <v>625</v>
      </c>
      <c r="B218">
        <v>571736</v>
      </c>
      <c r="C218">
        <v>5938757</v>
      </c>
      <c r="D218">
        <v>21</v>
      </c>
      <c r="E218" t="s">
        <v>15</v>
      </c>
      <c r="F218" t="s">
        <v>626</v>
      </c>
      <c r="G218">
        <v>2</v>
      </c>
      <c r="H218" t="s">
        <v>627</v>
      </c>
      <c r="I218" t="s">
        <v>281</v>
      </c>
      <c r="J218" t="s">
        <v>628</v>
      </c>
      <c r="K218" t="s">
        <v>20</v>
      </c>
      <c r="L218" t="s">
        <v>629</v>
      </c>
      <c r="M218" s="3" t="str">
        <f>HYPERLINK("..\..\Imagery\ScannedPhotos\1985\CG85-547.2.jpg")</f>
        <v>..\..\Imagery\ScannedPhotos\1985\CG85-547.2.jpg</v>
      </c>
    </row>
    <row r="219" spans="1:13" x14ac:dyDescent="0.25">
      <c r="A219" t="s">
        <v>630</v>
      </c>
      <c r="B219">
        <v>479642</v>
      </c>
      <c r="C219">
        <v>5924968</v>
      </c>
      <c r="D219">
        <v>21</v>
      </c>
      <c r="E219" t="s">
        <v>15</v>
      </c>
      <c r="F219" t="s">
        <v>631</v>
      </c>
      <c r="G219">
        <v>1</v>
      </c>
      <c r="H219" t="s">
        <v>632</v>
      </c>
      <c r="I219" t="s">
        <v>418</v>
      </c>
      <c r="J219" t="s">
        <v>633</v>
      </c>
      <c r="K219" t="s">
        <v>20</v>
      </c>
      <c r="L219" t="s">
        <v>634</v>
      </c>
      <c r="M219" s="3" t="str">
        <f>HYPERLINK("..\..\Imagery\ScannedPhotos\1977\MC77-090.jpg")</f>
        <v>..\..\Imagery\ScannedPhotos\1977\MC77-090.jpg</v>
      </c>
    </row>
    <row r="220" spans="1:13" x14ac:dyDescent="0.25">
      <c r="A220" t="s">
        <v>635</v>
      </c>
      <c r="B220">
        <v>480273</v>
      </c>
      <c r="C220">
        <v>5930182</v>
      </c>
      <c r="D220">
        <v>21</v>
      </c>
      <c r="E220" t="s">
        <v>15</v>
      </c>
      <c r="F220" t="s">
        <v>636</v>
      </c>
      <c r="G220">
        <v>2</v>
      </c>
      <c r="H220" t="s">
        <v>632</v>
      </c>
      <c r="I220" t="s">
        <v>195</v>
      </c>
      <c r="J220" t="s">
        <v>633</v>
      </c>
      <c r="K220" t="s">
        <v>20</v>
      </c>
      <c r="L220" t="s">
        <v>637</v>
      </c>
      <c r="M220" s="3" t="str">
        <f>HYPERLINK("..\..\Imagery\ScannedPhotos\1977\MC77-092.2.jpg")</f>
        <v>..\..\Imagery\ScannedPhotos\1977\MC77-092.2.jpg</v>
      </c>
    </row>
    <row r="221" spans="1:13" x14ac:dyDescent="0.25">
      <c r="A221" t="s">
        <v>635</v>
      </c>
      <c r="B221">
        <v>480273</v>
      </c>
      <c r="C221">
        <v>5930182</v>
      </c>
      <c r="D221">
        <v>21</v>
      </c>
      <c r="E221" t="s">
        <v>15</v>
      </c>
      <c r="F221" t="s">
        <v>638</v>
      </c>
      <c r="G221">
        <v>2</v>
      </c>
      <c r="H221" t="s">
        <v>632</v>
      </c>
      <c r="I221" t="s">
        <v>304</v>
      </c>
      <c r="J221" t="s">
        <v>633</v>
      </c>
      <c r="K221" t="s">
        <v>20</v>
      </c>
      <c r="L221" t="s">
        <v>639</v>
      </c>
      <c r="M221" s="3" t="str">
        <f>HYPERLINK("..\..\Imagery\ScannedPhotos\1977\MC77-092.1.jpg")</f>
        <v>..\..\Imagery\ScannedPhotos\1977\MC77-092.1.jpg</v>
      </c>
    </row>
    <row r="222" spans="1:13" x14ac:dyDescent="0.25">
      <c r="A222" t="s">
        <v>640</v>
      </c>
      <c r="B222">
        <v>479931</v>
      </c>
      <c r="C222">
        <v>5932972</v>
      </c>
      <c r="D222">
        <v>21</v>
      </c>
      <c r="E222" t="s">
        <v>15</v>
      </c>
      <c r="F222" t="s">
        <v>641</v>
      </c>
      <c r="G222">
        <v>1</v>
      </c>
      <c r="H222" t="s">
        <v>632</v>
      </c>
      <c r="I222" t="s">
        <v>25</v>
      </c>
      <c r="J222" t="s">
        <v>633</v>
      </c>
      <c r="K222" t="s">
        <v>20</v>
      </c>
      <c r="L222" t="s">
        <v>642</v>
      </c>
      <c r="M222" s="3" t="str">
        <f>HYPERLINK("..\..\Imagery\ScannedPhotos\1977\MC77-093.jpg")</f>
        <v>..\..\Imagery\ScannedPhotos\1977\MC77-093.jpg</v>
      </c>
    </row>
    <row r="223" spans="1:13" x14ac:dyDescent="0.25">
      <c r="A223" t="s">
        <v>643</v>
      </c>
      <c r="B223">
        <v>478407</v>
      </c>
      <c r="C223">
        <v>5938436</v>
      </c>
      <c r="D223">
        <v>21</v>
      </c>
      <c r="E223" t="s">
        <v>15</v>
      </c>
      <c r="F223" t="s">
        <v>644</v>
      </c>
      <c r="G223">
        <v>4</v>
      </c>
      <c r="H223" t="s">
        <v>632</v>
      </c>
      <c r="I223" t="s">
        <v>360</v>
      </c>
      <c r="J223" t="s">
        <v>633</v>
      </c>
      <c r="K223" t="s">
        <v>20</v>
      </c>
      <c r="L223" t="s">
        <v>645</v>
      </c>
      <c r="M223" s="3" t="str">
        <f>HYPERLINK("..\..\Imagery\ScannedPhotos\1977\MC77-097.1.jpg")</f>
        <v>..\..\Imagery\ScannedPhotos\1977\MC77-097.1.jpg</v>
      </c>
    </row>
    <row r="224" spans="1:13" x14ac:dyDescent="0.25">
      <c r="A224" t="s">
        <v>643</v>
      </c>
      <c r="B224">
        <v>478407</v>
      </c>
      <c r="C224">
        <v>5938436</v>
      </c>
      <c r="D224">
        <v>21</v>
      </c>
      <c r="E224" t="s">
        <v>15</v>
      </c>
      <c r="F224" t="s">
        <v>646</v>
      </c>
      <c r="G224">
        <v>4</v>
      </c>
      <c r="H224" t="s">
        <v>632</v>
      </c>
      <c r="I224" t="s">
        <v>647</v>
      </c>
      <c r="J224" t="s">
        <v>633</v>
      </c>
      <c r="K224" t="s">
        <v>20</v>
      </c>
      <c r="L224" t="s">
        <v>648</v>
      </c>
      <c r="M224" s="3" t="str">
        <f>HYPERLINK("..\..\Imagery\ScannedPhotos\1977\MC77-097.2.jpg")</f>
        <v>..\..\Imagery\ScannedPhotos\1977\MC77-097.2.jpg</v>
      </c>
    </row>
    <row r="225" spans="1:13" x14ac:dyDescent="0.25">
      <c r="A225" t="s">
        <v>649</v>
      </c>
      <c r="B225">
        <v>373811</v>
      </c>
      <c r="C225">
        <v>5994164</v>
      </c>
      <c r="D225">
        <v>21</v>
      </c>
      <c r="E225" t="s">
        <v>15</v>
      </c>
      <c r="F225" t="s">
        <v>650</v>
      </c>
      <c r="G225">
        <v>2</v>
      </c>
      <c r="H225" t="s">
        <v>651</v>
      </c>
      <c r="I225" t="s">
        <v>143</v>
      </c>
      <c r="J225" t="s">
        <v>652</v>
      </c>
      <c r="K225" t="s">
        <v>20</v>
      </c>
      <c r="L225" t="s">
        <v>653</v>
      </c>
      <c r="M225" s="3" t="str">
        <f>HYPERLINK("..\..\Imagery\ScannedPhotos\1980\NN80-064.2.jpg")</f>
        <v>..\..\Imagery\ScannedPhotos\1980\NN80-064.2.jpg</v>
      </c>
    </row>
    <row r="226" spans="1:13" x14ac:dyDescent="0.25">
      <c r="A226" t="s">
        <v>654</v>
      </c>
      <c r="B226">
        <v>520837</v>
      </c>
      <c r="C226">
        <v>5865921</v>
      </c>
      <c r="D226">
        <v>21</v>
      </c>
      <c r="E226" t="s">
        <v>15</v>
      </c>
      <c r="F226" t="s">
        <v>655</v>
      </c>
      <c r="G226">
        <v>1</v>
      </c>
      <c r="H226" t="s">
        <v>656</v>
      </c>
      <c r="I226" t="s">
        <v>25</v>
      </c>
      <c r="J226" t="s">
        <v>657</v>
      </c>
      <c r="K226" t="s">
        <v>20</v>
      </c>
      <c r="L226" t="s">
        <v>658</v>
      </c>
      <c r="M226" s="3" t="str">
        <f>HYPERLINK("..\..\Imagery\ScannedPhotos\1986\CG86-107.jpg")</f>
        <v>..\..\Imagery\ScannedPhotos\1986\CG86-107.jpg</v>
      </c>
    </row>
    <row r="227" spans="1:13" x14ac:dyDescent="0.25">
      <c r="A227" t="s">
        <v>659</v>
      </c>
      <c r="B227">
        <v>572452</v>
      </c>
      <c r="C227">
        <v>5934965</v>
      </c>
      <c r="D227">
        <v>21</v>
      </c>
      <c r="E227" t="s">
        <v>15</v>
      </c>
      <c r="F227" t="s">
        <v>660</v>
      </c>
      <c r="G227">
        <v>3</v>
      </c>
      <c r="H227" t="s">
        <v>627</v>
      </c>
      <c r="I227" t="s">
        <v>137</v>
      </c>
      <c r="J227" t="s">
        <v>628</v>
      </c>
      <c r="K227" t="s">
        <v>56</v>
      </c>
      <c r="L227" t="s">
        <v>661</v>
      </c>
      <c r="M227" s="3" t="str">
        <f>HYPERLINK("..\..\Imagery\ScannedPhotos\1985\CG85-548.1.jpg")</f>
        <v>..\..\Imagery\ScannedPhotos\1985\CG85-548.1.jpg</v>
      </c>
    </row>
    <row r="228" spans="1:13" x14ac:dyDescent="0.25">
      <c r="A228" t="s">
        <v>662</v>
      </c>
      <c r="B228">
        <v>490388</v>
      </c>
      <c r="C228">
        <v>5936462</v>
      </c>
      <c r="D228">
        <v>21</v>
      </c>
      <c r="E228" t="s">
        <v>15</v>
      </c>
      <c r="F228" t="s">
        <v>663</v>
      </c>
      <c r="G228">
        <v>4</v>
      </c>
      <c r="H228" t="s">
        <v>142</v>
      </c>
      <c r="I228" t="s">
        <v>94</v>
      </c>
      <c r="J228" t="s">
        <v>144</v>
      </c>
      <c r="K228" t="s">
        <v>20</v>
      </c>
      <c r="L228" t="s">
        <v>664</v>
      </c>
      <c r="M228" s="3" t="str">
        <f>HYPERLINK("..\..\Imagery\ScannedPhotos\1977\MC77-010.3.jpg")</f>
        <v>..\..\Imagery\ScannedPhotos\1977\MC77-010.3.jpg</v>
      </c>
    </row>
    <row r="229" spans="1:13" x14ac:dyDescent="0.25">
      <c r="A229" t="s">
        <v>662</v>
      </c>
      <c r="B229">
        <v>490388</v>
      </c>
      <c r="C229">
        <v>5936462</v>
      </c>
      <c r="D229">
        <v>21</v>
      </c>
      <c r="E229" t="s">
        <v>15</v>
      </c>
      <c r="F229" t="s">
        <v>665</v>
      </c>
      <c r="G229">
        <v>4</v>
      </c>
      <c r="H229" t="s">
        <v>142</v>
      </c>
      <c r="I229" t="s">
        <v>85</v>
      </c>
      <c r="J229" t="s">
        <v>144</v>
      </c>
      <c r="K229" t="s">
        <v>20</v>
      </c>
      <c r="L229" t="s">
        <v>666</v>
      </c>
      <c r="M229" s="3" t="str">
        <f>HYPERLINK("..\..\Imagery\ScannedPhotos\1977\MC77-010.1.jpg")</f>
        <v>..\..\Imagery\ScannedPhotos\1977\MC77-010.1.jpg</v>
      </c>
    </row>
    <row r="230" spans="1:13" x14ac:dyDescent="0.25">
      <c r="A230" t="s">
        <v>662</v>
      </c>
      <c r="B230">
        <v>490388</v>
      </c>
      <c r="C230">
        <v>5936462</v>
      </c>
      <c r="D230">
        <v>21</v>
      </c>
      <c r="E230" t="s">
        <v>15</v>
      </c>
      <c r="F230" t="s">
        <v>667</v>
      </c>
      <c r="G230">
        <v>4</v>
      </c>
      <c r="H230" t="s">
        <v>142</v>
      </c>
      <c r="I230" t="s">
        <v>375</v>
      </c>
      <c r="J230" t="s">
        <v>144</v>
      </c>
      <c r="K230" t="s">
        <v>20</v>
      </c>
      <c r="L230" t="s">
        <v>668</v>
      </c>
      <c r="M230" s="3" t="str">
        <f>HYPERLINK("..\..\Imagery\ScannedPhotos\1977\MC77-010.2.jpg")</f>
        <v>..\..\Imagery\ScannedPhotos\1977\MC77-010.2.jpg</v>
      </c>
    </row>
    <row r="231" spans="1:13" x14ac:dyDescent="0.25">
      <c r="A231" t="s">
        <v>669</v>
      </c>
      <c r="B231">
        <v>492406</v>
      </c>
      <c r="C231">
        <v>5943637</v>
      </c>
      <c r="D231">
        <v>21</v>
      </c>
      <c r="E231" t="s">
        <v>15</v>
      </c>
      <c r="F231" t="s">
        <v>670</v>
      </c>
      <c r="G231">
        <v>2</v>
      </c>
      <c r="H231" t="s">
        <v>142</v>
      </c>
      <c r="I231" t="s">
        <v>65</v>
      </c>
      <c r="J231" t="s">
        <v>144</v>
      </c>
      <c r="K231" t="s">
        <v>20</v>
      </c>
      <c r="L231" t="s">
        <v>671</v>
      </c>
      <c r="M231" s="3" t="str">
        <f>HYPERLINK("..\..\Imagery\ScannedPhotos\1977\MC77-033.1.jpg")</f>
        <v>..\..\Imagery\ScannedPhotos\1977\MC77-033.1.jpg</v>
      </c>
    </row>
    <row r="232" spans="1:13" x14ac:dyDescent="0.25">
      <c r="A232" t="s">
        <v>669</v>
      </c>
      <c r="B232">
        <v>492406</v>
      </c>
      <c r="C232">
        <v>5943637</v>
      </c>
      <c r="D232">
        <v>21</v>
      </c>
      <c r="E232" t="s">
        <v>15</v>
      </c>
      <c r="F232" t="s">
        <v>672</v>
      </c>
      <c r="G232">
        <v>2</v>
      </c>
      <c r="H232" t="s">
        <v>142</v>
      </c>
      <c r="I232" t="s">
        <v>401</v>
      </c>
      <c r="J232" t="s">
        <v>144</v>
      </c>
      <c r="K232" t="s">
        <v>20</v>
      </c>
      <c r="L232" t="s">
        <v>673</v>
      </c>
      <c r="M232" s="3" t="str">
        <f>HYPERLINK("..\..\Imagery\ScannedPhotos\1977\MC77-033.2.jpg")</f>
        <v>..\..\Imagery\ScannedPhotos\1977\MC77-033.2.jpg</v>
      </c>
    </row>
    <row r="233" spans="1:13" x14ac:dyDescent="0.25">
      <c r="A233" t="s">
        <v>674</v>
      </c>
      <c r="B233">
        <v>491133</v>
      </c>
      <c r="C233">
        <v>5944222</v>
      </c>
      <c r="D233">
        <v>21</v>
      </c>
      <c r="E233" t="s">
        <v>15</v>
      </c>
      <c r="F233" t="s">
        <v>675</v>
      </c>
      <c r="G233">
        <v>4</v>
      </c>
      <c r="H233" t="s">
        <v>113</v>
      </c>
      <c r="I233" t="s">
        <v>79</v>
      </c>
      <c r="J233" t="s">
        <v>115</v>
      </c>
      <c r="K233" t="s">
        <v>56</v>
      </c>
      <c r="L233" t="s">
        <v>676</v>
      </c>
      <c r="M233" s="3" t="str">
        <f>HYPERLINK("..\..\Imagery\ScannedPhotos\1977\MC77-035.1.jpg")</f>
        <v>..\..\Imagery\ScannedPhotos\1977\MC77-035.1.jpg</v>
      </c>
    </row>
    <row r="234" spans="1:13" x14ac:dyDescent="0.25">
      <c r="A234" t="s">
        <v>674</v>
      </c>
      <c r="B234">
        <v>491133</v>
      </c>
      <c r="C234">
        <v>5944222</v>
      </c>
      <c r="D234">
        <v>21</v>
      </c>
      <c r="E234" t="s">
        <v>15</v>
      </c>
      <c r="F234" t="s">
        <v>677</v>
      </c>
      <c r="G234">
        <v>4</v>
      </c>
      <c r="H234" t="s">
        <v>113</v>
      </c>
      <c r="I234" t="s">
        <v>137</v>
      </c>
      <c r="J234" t="s">
        <v>115</v>
      </c>
      <c r="K234" t="s">
        <v>56</v>
      </c>
      <c r="L234" t="s">
        <v>676</v>
      </c>
      <c r="M234" s="3" t="str">
        <f>HYPERLINK("..\..\Imagery\ScannedPhotos\1977\MC77-035.3.jpg")</f>
        <v>..\..\Imagery\ScannedPhotos\1977\MC77-035.3.jpg</v>
      </c>
    </row>
    <row r="235" spans="1:13" x14ac:dyDescent="0.25">
      <c r="A235" t="s">
        <v>674</v>
      </c>
      <c r="B235">
        <v>491133</v>
      </c>
      <c r="C235">
        <v>5944222</v>
      </c>
      <c r="D235">
        <v>21</v>
      </c>
      <c r="E235" t="s">
        <v>15</v>
      </c>
      <c r="F235" t="s">
        <v>678</v>
      </c>
      <c r="G235">
        <v>4</v>
      </c>
      <c r="H235" t="s">
        <v>113</v>
      </c>
      <c r="I235" t="s">
        <v>281</v>
      </c>
      <c r="J235" t="s">
        <v>115</v>
      </c>
      <c r="K235" t="s">
        <v>20</v>
      </c>
      <c r="L235" t="s">
        <v>679</v>
      </c>
      <c r="M235" s="3" t="str">
        <f>HYPERLINK("..\..\Imagery\ScannedPhotos\1977\MC77-035.2.jpg")</f>
        <v>..\..\Imagery\ScannedPhotos\1977\MC77-035.2.jpg</v>
      </c>
    </row>
    <row r="236" spans="1:13" x14ac:dyDescent="0.25">
      <c r="A236" t="s">
        <v>680</v>
      </c>
      <c r="B236">
        <v>419840</v>
      </c>
      <c r="C236">
        <v>6054815</v>
      </c>
      <c r="D236">
        <v>21</v>
      </c>
      <c r="E236" t="s">
        <v>15</v>
      </c>
      <c r="F236" t="s">
        <v>681</v>
      </c>
      <c r="G236">
        <v>1</v>
      </c>
      <c r="H236" t="s">
        <v>682</v>
      </c>
      <c r="I236" t="s">
        <v>119</v>
      </c>
      <c r="J236" t="s">
        <v>683</v>
      </c>
      <c r="K236" t="s">
        <v>20</v>
      </c>
      <c r="L236" t="s">
        <v>684</v>
      </c>
      <c r="M236" s="3" t="str">
        <f>HYPERLINK("..\..\Imagery\ScannedPhotos\1979\AD79-268.jpg")</f>
        <v>..\..\Imagery\ScannedPhotos\1979\AD79-268.jpg</v>
      </c>
    </row>
    <row r="237" spans="1:13" x14ac:dyDescent="0.25">
      <c r="A237" t="s">
        <v>685</v>
      </c>
      <c r="B237">
        <v>413346</v>
      </c>
      <c r="C237">
        <v>6026046</v>
      </c>
      <c r="D237">
        <v>21</v>
      </c>
      <c r="E237" t="s">
        <v>15</v>
      </c>
      <c r="F237" t="s">
        <v>686</v>
      </c>
      <c r="G237">
        <v>1</v>
      </c>
      <c r="H237" t="s">
        <v>682</v>
      </c>
      <c r="I237" t="s">
        <v>129</v>
      </c>
      <c r="J237" t="s">
        <v>683</v>
      </c>
      <c r="K237" t="s">
        <v>20</v>
      </c>
      <c r="L237" t="s">
        <v>687</v>
      </c>
      <c r="M237" s="3" t="str">
        <f>HYPERLINK("..\..\Imagery\ScannedPhotos\1979\AD79-278.jpg")</f>
        <v>..\..\Imagery\ScannedPhotos\1979\AD79-278.jpg</v>
      </c>
    </row>
    <row r="238" spans="1:13" x14ac:dyDescent="0.25">
      <c r="A238" t="s">
        <v>688</v>
      </c>
      <c r="B238">
        <v>425864</v>
      </c>
      <c r="C238">
        <v>6052992</v>
      </c>
      <c r="D238">
        <v>21</v>
      </c>
      <c r="E238" t="s">
        <v>15</v>
      </c>
      <c r="F238" t="s">
        <v>689</v>
      </c>
      <c r="G238">
        <v>4</v>
      </c>
      <c r="H238" t="s">
        <v>690</v>
      </c>
      <c r="I238" t="s">
        <v>79</v>
      </c>
      <c r="J238" t="s">
        <v>691</v>
      </c>
      <c r="K238" t="s">
        <v>20</v>
      </c>
      <c r="L238" t="s">
        <v>692</v>
      </c>
      <c r="M238" s="3" t="str">
        <f>HYPERLINK("..\..\Imagery\ScannedPhotos\1979\AD79-295.1.jpg")</f>
        <v>..\..\Imagery\ScannedPhotos\1979\AD79-295.1.jpg</v>
      </c>
    </row>
    <row r="239" spans="1:13" x14ac:dyDescent="0.25">
      <c r="A239" t="s">
        <v>688</v>
      </c>
      <c r="B239">
        <v>425864</v>
      </c>
      <c r="C239">
        <v>6052992</v>
      </c>
      <c r="D239">
        <v>21</v>
      </c>
      <c r="E239" t="s">
        <v>15</v>
      </c>
      <c r="F239" t="s">
        <v>693</v>
      </c>
      <c r="G239">
        <v>4</v>
      </c>
      <c r="H239" t="s">
        <v>690</v>
      </c>
      <c r="I239" t="s">
        <v>281</v>
      </c>
      <c r="J239" t="s">
        <v>691</v>
      </c>
      <c r="K239" t="s">
        <v>20</v>
      </c>
      <c r="L239" t="s">
        <v>692</v>
      </c>
      <c r="M239" s="3" t="str">
        <f>HYPERLINK("..\..\Imagery\ScannedPhotos\1979\AD79-295.2.jpg")</f>
        <v>..\..\Imagery\ScannedPhotos\1979\AD79-295.2.jpg</v>
      </c>
    </row>
    <row r="240" spans="1:13" x14ac:dyDescent="0.25">
      <c r="A240" t="s">
        <v>694</v>
      </c>
      <c r="B240">
        <v>471415</v>
      </c>
      <c r="C240">
        <v>6052519</v>
      </c>
      <c r="D240">
        <v>21</v>
      </c>
      <c r="E240" t="s">
        <v>15</v>
      </c>
      <c r="F240" t="s">
        <v>695</v>
      </c>
      <c r="G240">
        <v>1</v>
      </c>
      <c r="H240" t="s">
        <v>696</v>
      </c>
      <c r="I240" t="s">
        <v>126</v>
      </c>
      <c r="J240" t="s">
        <v>355</v>
      </c>
      <c r="K240" t="s">
        <v>20</v>
      </c>
      <c r="L240" t="s">
        <v>697</v>
      </c>
      <c r="M240" s="3" t="str">
        <f>HYPERLINK("..\..\Imagery\ScannedPhotos\1979\CG79-275.jpg")</f>
        <v>..\..\Imagery\ScannedPhotos\1979\CG79-275.jpg</v>
      </c>
    </row>
    <row r="241" spans="1:13" x14ac:dyDescent="0.25">
      <c r="A241" t="s">
        <v>698</v>
      </c>
      <c r="B241">
        <v>473856</v>
      </c>
      <c r="C241">
        <v>6048412</v>
      </c>
      <c r="D241">
        <v>21</v>
      </c>
      <c r="E241" t="s">
        <v>15</v>
      </c>
      <c r="F241" t="s">
        <v>699</v>
      </c>
      <c r="G241">
        <v>2</v>
      </c>
      <c r="H241" t="s">
        <v>700</v>
      </c>
      <c r="I241" t="s">
        <v>65</v>
      </c>
      <c r="J241" t="s">
        <v>210</v>
      </c>
      <c r="K241" t="s">
        <v>535</v>
      </c>
      <c r="L241" t="s">
        <v>701</v>
      </c>
      <c r="M241" s="3" t="str">
        <f>HYPERLINK("..\..\Imagery\ScannedPhotos\1979\CG79-281.2.jpg")</f>
        <v>..\..\Imagery\ScannedPhotos\1979\CG79-281.2.jpg</v>
      </c>
    </row>
    <row r="242" spans="1:13" x14ac:dyDescent="0.25">
      <c r="A242" t="s">
        <v>698</v>
      </c>
      <c r="B242">
        <v>473856</v>
      </c>
      <c r="C242">
        <v>6048412</v>
      </c>
      <c r="D242">
        <v>21</v>
      </c>
      <c r="E242" t="s">
        <v>15</v>
      </c>
      <c r="F242" t="s">
        <v>702</v>
      </c>
      <c r="G242">
        <v>2</v>
      </c>
      <c r="H242" t="s">
        <v>700</v>
      </c>
      <c r="I242" t="s">
        <v>47</v>
      </c>
      <c r="J242" t="s">
        <v>210</v>
      </c>
      <c r="K242" t="s">
        <v>535</v>
      </c>
      <c r="L242" t="s">
        <v>703</v>
      </c>
      <c r="M242" s="3" t="str">
        <f>HYPERLINK("..\..\Imagery\ScannedPhotos\1979\CG79-281.1.jpg")</f>
        <v>..\..\Imagery\ScannedPhotos\1979\CG79-281.1.jpg</v>
      </c>
    </row>
    <row r="243" spans="1:13" x14ac:dyDescent="0.25">
      <c r="A243" t="s">
        <v>704</v>
      </c>
      <c r="B243">
        <v>479479</v>
      </c>
      <c r="C243">
        <v>6048443</v>
      </c>
      <c r="D243">
        <v>21</v>
      </c>
      <c r="E243" t="s">
        <v>15</v>
      </c>
      <c r="F243" t="s">
        <v>705</v>
      </c>
      <c r="G243">
        <v>2</v>
      </c>
      <c r="H243" t="s">
        <v>696</v>
      </c>
      <c r="I243" t="s">
        <v>132</v>
      </c>
      <c r="J243" t="s">
        <v>355</v>
      </c>
      <c r="K243" t="s">
        <v>20</v>
      </c>
      <c r="L243" t="s">
        <v>706</v>
      </c>
      <c r="M243" s="3" t="str">
        <f>HYPERLINK("..\..\Imagery\ScannedPhotos\1979\CG79-287.1.jpg")</f>
        <v>..\..\Imagery\ScannedPhotos\1979\CG79-287.1.jpg</v>
      </c>
    </row>
    <row r="244" spans="1:13" x14ac:dyDescent="0.25">
      <c r="A244" t="s">
        <v>704</v>
      </c>
      <c r="B244">
        <v>479479</v>
      </c>
      <c r="C244">
        <v>6048443</v>
      </c>
      <c r="D244">
        <v>21</v>
      </c>
      <c r="E244" t="s">
        <v>15</v>
      </c>
      <c r="F244" t="s">
        <v>707</v>
      </c>
      <c r="G244">
        <v>2</v>
      </c>
      <c r="H244" t="s">
        <v>696</v>
      </c>
      <c r="I244" t="s">
        <v>129</v>
      </c>
      <c r="J244" t="s">
        <v>355</v>
      </c>
      <c r="K244" t="s">
        <v>20</v>
      </c>
      <c r="L244" t="s">
        <v>708</v>
      </c>
      <c r="M244" s="3" t="str">
        <f>HYPERLINK("..\..\Imagery\ScannedPhotos\1979\CG79-287.2.jpg")</f>
        <v>..\..\Imagery\ScannedPhotos\1979\CG79-287.2.jpg</v>
      </c>
    </row>
    <row r="245" spans="1:13" x14ac:dyDescent="0.25">
      <c r="A245" t="s">
        <v>709</v>
      </c>
      <c r="B245">
        <v>480370</v>
      </c>
      <c r="C245">
        <v>6051132</v>
      </c>
      <c r="D245">
        <v>21</v>
      </c>
      <c r="E245" t="s">
        <v>15</v>
      </c>
      <c r="F245" t="s">
        <v>710</v>
      </c>
      <c r="G245">
        <v>4</v>
      </c>
      <c r="H245" t="s">
        <v>696</v>
      </c>
      <c r="I245" t="s">
        <v>147</v>
      </c>
      <c r="J245" t="s">
        <v>355</v>
      </c>
      <c r="K245" t="s">
        <v>20</v>
      </c>
      <c r="L245" t="s">
        <v>711</v>
      </c>
      <c r="M245" s="3" t="str">
        <f>HYPERLINK("..\..\Imagery\ScannedPhotos\1979\CG79-288.2.jpg")</f>
        <v>..\..\Imagery\ScannedPhotos\1979\CG79-288.2.jpg</v>
      </c>
    </row>
    <row r="246" spans="1:13" x14ac:dyDescent="0.25">
      <c r="A246" t="s">
        <v>709</v>
      </c>
      <c r="B246">
        <v>480370</v>
      </c>
      <c r="C246">
        <v>6051132</v>
      </c>
      <c r="D246">
        <v>21</v>
      </c>
      <c r="E246" t="s">
        <v>15</v>
      </c>
      <c r="F246" t="s">
        <v>712</v>
      </c>
      <c r="G246">
        <v>4</v>
      </c>
      <c r="H246" t="s">
        <v>696</v>
      </c>
      <c r="I246" t="s">
        <v>52</v>
      </c>
      <c r="J246" t="s">
        <v>355</v>
      </c>
      <c r="K246" t="s">
        <v>20</v>
      </c>
      <c r="L246" t="s">
        <v>713</v>
      </c>
      <c r="M246" s="3" t="str">
        <f>HYPERLINK("..\..\Imagery\ScannedPhotos\1979\CG79-288.3.jpg")</f>
        <v>..\..\Imagery\ScannedPhotos\1979\CG79-288.3.jpg</v>
      </c>
    </row>
    <row r="247" spans="1:13" x14ac:dyDescent="0.25">
      <c r="A247" t="s">
        <v>709</v>
      </c>
      <c r="B247">
        <v>480370</v>
      </c>
      <c r="C247">
        <v>6051132</v>
      </c>
      <c r="D247">
        <v>21</v>
      </c>
      <c r="E247" t="s">
        <v>15</v>
      </c>
      <c r="F247" t="s">
        <v>714</v>
      </c>
      <c r="G247">
        <v>4</v>
      </c>
      <c r="H247" t="s">
        <v>696</v>
      </c>
      <c r="I247" t="s">
        <v>143</v>
      </c>
      <c r="J247" t="s">
        <v>355</v>
      </c>
      <c r="K247" t="s">
        <v>20</v>
      </c>
      <c r="L247" t="s">
        <v>715</v>
      </c>
      <c r="M247" s="3" t="str">
        <f>HYPERLINK("..\..\Imagery\ScannedPhotos\1979\CG79-288.1.jpg")</f>
        <v>..\..\Imagery\ScannedPhotos\1979\CG79-288.1.jpg</v>
      </c>
    </row>
    <row r="248" spans="1:13" x14ac:dyDescent="0.25">
      <c r="A248" t="s">
        <v>716</v>
      </c>
      <c r="B248">
        <v>529652</v>
      </c>
      <c r="C248">
        <v>5955820</v>
      </c>
      <c r="D248">
        <v>21</v>
      </c>
      <c r="E248" t="s">
        <v>15</v>
      </c>
      <c r="F248" t="s">
        <v>717</v>
      </c>
      <c r="G248">
        <v>3</v>
      </c>
      <c r="H248" t="s">
        <v>718</v>
      </c>
      <c r="I248" t="s">
        <v>126</v>
      </c>
      <c r="J248" t="s">
        <v>48</v>
      </c>
      <c r="K248" t="s">
        <v>20</v>
      </c>
      <c r="L248" t="s">
        <v>719</v>
      </c>
      <c r="M248" s="3" t="str">
        <f>HYPERLINK("..\..\Imagery\ScannedPhotos\1981\VO81-131.2.jpg")</f>
        <v>..\..\Imagery\ScannedPhotos\1981\VO81-131.2.jpg</v>
      </c>
    </row>
    <row r="249" spans="1:13" x14ac:dyDescent="0.25">
      <c r="A249" t="s">
        <v>716</v>
      </c>
      <c r="B249">
        <v>529652</v>
      </c>
      <c r="C249">
        <v>5955820</v>
      </c>
      <c r="D249">
        <v>21</v>
      </c>
      <c r="E249" t="s">
        <v>15</v>
      </c>
      <c r="F249" t="s">
        <v>720</v>
      </c>
      <c r="G249">
        <v>3</v>
      </c>
      <c r="H249" t="s">
        <v>718</v>
      </c>
      <c r="I249" t="s">
        <v>108</v>
      </c>
      <c r="J249" t="s">
        <v>48</v>
      </c>
      <c r="K249" t="s">
        <v>20</v>
      </c>
      <c r="L249" t="s">
        <v>721</v>
      </c>
      <c r="M249" s="3" t="str">
        <f>HYPERLINK("..\..\Imagery\ScannedPhotos\1981\VO81-131.3.jpg")</f>
        <v>..\..\Imagery\ScannedPhotos\1981\VO81-131.3.jpg</v>
      </c>
    </row>
    <row r="250" spans="1:13" x14ac:dyDescent="0.25">
      <c r="A250" t="s">
        <v>722</v>
      </c>
      <c r="B250">
        <v>530220</v>
      </c>
      <c r="C250">
        <v>5955782</v>
      </c>
      <c r="D250">
        <v>21</v>
      </c>
      <c r="E250" t="s">
        <v>15</v>
      </c>
      <c r="F250" t="s">
        <v>723</v>
      </c>
      <c r="G250">
        <v>1</v>
      </c>
      <c r="H250" t="s">
        <v>718</v>
      </c>
      <c r="I250" t="s">
        <v>119</v>
      </c>
      <c r="J250" t="s">
        <v>48</v>
      </c>
      <c r="K250" t="s">
        <v>20</v>
      </c>
      <c r="L250" t="s">
        <v>724</v>
      </c>
      <c r="M250" s="3" t="str">
        <f>HYPERLINK("..\..\Imagery\ScannedPhotos\1981\VO81-132.jpg")</f>
        <v>..\..\Imagery\ScannedPhotos\1981\VO81-132.jpg</v>
      </c>
    </row>
    <row r="251" spans="1:13" x14ac:dyDescent="0.25">
      <c r="A251" t="s">
        <v>725</v>
      </c>
      <c r="B251">
        <v>531056</v>
      </c>
      <c r="C251">
        <v>5955461</v>
      </c>
      <c r="D251">
        <v>21</v>
      </c>
      <c r="E251" t="s">
        <v>15</v>
      </c>
      <c r="F251" t="s">
        <v>726</v>
      </c>
      <c r="G251">
        <v>1</v>
      </c>
      <c r="H251" t="s">
        <v>718</v>
      </c>
      <c r="I251" t="s">
        <v>132</v>
      </c>
      <c r="J251" t="s">
        <v>48</v>
      </c>
      <c r="K251" t="s">
        <v>20</v>
      </c>
      <c r="L251" t="s">
        <v>727</v>
      </c>
      <c r="M251" s="3" t="str">
        <f>HYPERLINK("..\..\Imagery\ScannedPhotos\1981\VO81-133.jpg")</f>
        <v>..\..\Imagery\ScannedPhotos\1981\VO81-133.jpg</v>
      </c>
    </row>
    <row r="252" spans="1:13" x14ac:dyDescent="0.25">
      <c r="A252" t="s">
        <v>728</v>
      </c>
      <c r="B252">
        <v>529754</v>
      </c>
      <c r="C252">
        <v>5956475</v>
      </c>
      <c r="D252">
        <v>21</v>
      </c>
      <c r="E252" t="s">
        <v>15</v>
      </c>
      <c r="F252" t="s">
        <v>729</v>
      </c>
      <c r="G252">
        <v>1</v>
      </c>
      <c r="H252" t="s">
        <v>718</v>
      </c>
      <c r="I252" t="s">
        <v>147</v>
      </c>
      <c r="J252" t="s">
        <v>48</v>
      </c>
      <c r="K252" t="s">
        <v>20</v>
      </c>
      <c r="L252" t="s">
        <v>730</v>
      </c>
      <c r="M252" s="3" t="str">
        <f>HYPERLINK("..\..\Imagery\ScannedPhotos\1981\VO81-138.jpg")</f>
        <v>..\..\Imagery\ScannedPhotos\1981\VO81-138.jpg</v>
      </c>
    </row>
    <row r="253" spans="1:13" x14ac:dyDescent="0.25">
      <c r="A253" t="s">
        <v>731</v>
      </c>
      <c r="B253">
        <v>529442</v>
      </c>
      <c r="C253">
        <v>5956573</v>
      </c>
      <c r="D253">
        <v>21</v>
      </c>
      <c r="E253" t="s">
        <v>15</v>
      </c>
      <c r="F253" t="s">
        <v>732</v>
      </c>
      <c r="G253">
        <v>1</v>
      </c>
      <c r="H253" t="s">
        <v>718</v>
      </c>
      <c r="I253" t="s">
        <v>47</v>
      </c>
      <c r="J253" t="s">
        <v>48</v>
      </c>
      <c r="K253" t="s">
        <v>20</v>
      </c>
      <c r="L253" t="s">
        <v>733</v>
      </c>
      <c r="M253" s="3" t="str">
        <f>HYPERLINK("..\..\Imagery\ScannedPhotos\1981\VO81-139.jpg")</f>
        <v>..\..\Imagery\ScannedPhotos\1981\VO81-139.jpg</v>
      </c>
    </row>
    <row r="254" spans="1:13" x14ac:dyDescent="0.25">
      <c r="A254" t="s">
        <v>734</v>
      </c>
      <c r="B254">
        <v>529002</v>
      </c>
      <c r="C254">
        <v>5957213</v>
      </c>
      <c r="D254">
        <v>21</v>
      </c>
      <c r="E254" t="s">
        <v>15</v>
      </c>
      <c r="F254" t="s">
        <v>735</v>
      </c>
      <c r="G254">
        <v>1</v>
      </c>
      <c r="H254" t="s">
        <v>718</v>
      </c>
      <c r="I254" t="s">
        <v>52</v>
      </c>
      <c r="J254" t="s">
        <v>48</v>
      </c>
      <c r="K254" t="s">
        <v>20</v>
      </c>
      <c r="L254" t="s">
        <v>733</v>
      </c>
      <c r="M254" s="3" t="str">
        <f>HYPERLINK("..\..\Imagery\ScannedPhotos\1981\VO81-141.jpg")</f>
        <v>..\..\Imagery\ScannedPhotos\1981\VO81-141.jpg</v>
      </c>
    </row>
    <row r="255" spans="1:13" x14ac:dyDescent="0.25">
      <c r="A255" t="s">
        <v>736</v>
      </c>
      <c r="B255">
        <v>422834</v>
      </c>
      <c r="C255">
        <v>5774147</v>
      </c>
      <c r="D255">
        <v>21</v>
      </c>
      <c r="E255" t="s">
        <v>15</v>
      </c>
      <c r="F255" t="s">
        <v>737</v>
      </c>
      <c r="G255">
        <v>2</v>
      </c>
      <c r="H255" t="s">
        <v>738</v>
      </c>
      <c r="I255" t="s">
        <v>25</v>
      </c>
      <c r="J255" t="s">
        <v>739</v>
      </c>
      <c r="K255" t="s">
        <v>20</v>
      </c>
      <c r="L255" t="s">
        <v>740</v>
      </c>
      <c r="M255" s="3" t="str">
        <f>HYPERLINK("..\..\Imagery\ScannedPhotos\1999\CG99-048.2.jpg")</f>
        <v>..\..\Imagery\ScannedPhotos\1999\CG99-048.2.jpg</v>
      </c>
    </row>
    <row r="256" spans="1:13" x14ac:dyDescent="0.25">
      <c r="A256" t="s">
        <v>741</v>
      </c>
      <c r="B256">
        <v>422605</v>
      </c>
      <c r="C256">
        <v>5774107</v>
      </c>
      <c r="D256">
        <v>21</v>
      </c>
      <c r="E256" t="s">
        <v>15</v>
      </c>
      <c r="F256" t="s">
        <v>742</v>
      </c>
      <c r="G256">
        <v>6</v>
      </c>
      <c r="H256" t="s">
        <v>738</v>
      </c>
      <c r="I256" t="s">
        <v>647</v>
      </c>
      <c r="J256" t="s">
        <v>739</v>
      </c>
      <c r="K256" t="s">
        <v>20</v>
      </c>
      <c r="L256" t="s">
        <v>743</v>
      </c>
      <c r="M256" s="3" t="str">
        <f>HYPERLINK("..\..\Imagery\ScannedPhotos\1999\CG99-050.1.jpg")</f>
        <v>..\..\Imagery\ScannedPhotos\1999\CG99-050.1.jpg</v>
      </c>
    </row>
    <row r="257" spans="1:13" x14ac:dyDescent="0.25">
      <c r="A257" t="s">
        <v>744</v>
      </c>
      <c r="B257">
        <v>444048</v>
      </c>
      <c r="C257">
        <v>5763136</v>
      </c>
      <c r="D257">
        <v>21</v>
      </c>
      <c r="E257" t="s">
        <v>15</v>
      </c>
      <c r="F257" t="s">
        <v>745</v>
      </c>
      <c r="G257">
        <v>1</v>
      </c>
      <c r="H257" t="s">
        <v>746</v>
      </c>
      <c r="I257" t="s">
        <v>85</v>
      </c>
      <c r="J257" t="s">
        <v>747</v>
      </c>
      <c r="K257" t="s">
        <v>20</v>
      </c>
      <c r="L257" t="s">
        <v>748</v>
      </c>
      <c r="M257" s="3" t="str">
        <f>HYPERLINK("..\..\Imagery\ScannedPhotos\1992\CG92-165.jpg")</f>
        <v>..\..\Imagery\ScannedPhotos\1992\CG92-165.jpg</v>
      </c>
    </row>
    <row r="258" spans="1:13" x14ac:dyDescent="0.25">
      <c r="A258" t="s">
        <v>749</v>
      </c>
      <c r="B258">
        <v>439221</v>
      </c>
      <c r="C258">
        <v>5764670</v>
      </c>
      <c r="D258">
        <v>21</v>
      </c>
      <c r="E258" t="s">
        <v>15</v>
      </c>
      <c r="F258" t="s">
        <v>750</v>
      </c>
      <c r="G258">
        <v>1</v>
      </c>
      <c r="H258" t="s">
        <v>746</v>
      </c>
      <c r="I258" t="s">
        <v>222</v>
      </c>
      <c r="J258" t="s">
        <v>747</v>
      </c>
      <c r="K258" t="s">
        <v>56</v>
      </c>
      <c r="L258" t="s">
        <v>751</v>
      </c>
      <c r="M258" s="3" t="str">
        <f>HYPERLINK("..\..\Imagery\ScannedPhotos\1992\CG92-181.jpg")</f>
        <v>..\..\Imagery\ScannedPhotos\1992\CG92-181.jpg</v>
      </c>
    </row>
    <row r="259" spans="1:13" x14ac:dyDescent="0.25">
      <c r="A259" t="s">
        <v>752</v>
      </c>
      <c r="B259">
        <v>362230</v>
      </c>
      <c r="C259">
        <v>5899320</v>
      </c>
      <c r="D259">
        <v>21</v>
      </c>
      <c r="E259" t="s">
        <v>15</v>
      </c>
      <c r="F259" t="s">
        <v>753</v>
      </c>
      <c r="G259">
        <v>5</v>
      </c>
      <c r="H259" t="s">
        <v>754</v>
      </c>
      <c r="I259" t="s">
        <v>147</v>
      </c>
      <c r="J259" t="s">
        <v>563</v>
      </c>
      <c r="K259" t="s">
        <v>535</v>
      </c>
      <c r="L259" t="s">
        <v>755</v>
      </c>
      <c r="M259" s="3" t="str">
        <f>HYPERLINK("..\..\Imagery\ScannedPhotos\1995\GN95-581.5.jpg")</f>
        <v>..\..\Imagery\ScannedPhotos\1995\GN95-581.5.jpg</v>
      </c>
    </row>
    <row r="260" spans="1:13" x14ac:dyDescent="0.25">
      <c r="A260" t="s">
        <v>756</v>
      </c>
      <c r="B260">
        <v>411385</v>
      </c>
      <c r="C260">
        <v>5997364</v>
      </c>
      <c r="D260">
        <v>21</v>
      </c>
      <c r="E260" t="s">
        <v>15</v>
      </c>
      <c r="F260" t="s">
        <v>757</v>
      </c>
      <c r="G260">
        <v>4</v>
      </c>
      <c r="H260" t="s">
        <v>758</v>
      </c>
      <c r="I260" t="s">
        <v>214</v>
      </c>
      <c r="J260" t="s">
        <v>759</v>
      </c>
      <c r="K260" t="s">
        <v>20</v>
      </c>
      <c r="L260" t="s">
        <v>760</v>
      </c>
      <c r="M260" s="3" t="str">
        <f>HYPERLINK("..\..\Imagery\ScannedPhotos\1980\RG80-061.2.jpg")</f>
        <v>..\..\Imagery\ScannedPhotos\1980\RG80-061.2.jpg</v>
      </c>
    </row>
    <row r="261" spans="1:13" x14ac:dyDescent="0.25">
      <c r="A261" t="s">
        <v>761</v>
      </c>
      <c r="B261">
        <v>488663</v>
      </c>
      <c r="C261">
        <v>5977805</v>
      </c>
      <c r="D261">
        <v>21</v>
      </c>
      <c r="E261" t="s">
        <v>15</v>
      </c>
      <c r="F261" t="s">
        <v>762</v>
      </c>
      <c r="G261">
        <v>2</v>
      </c>
      <c r="H261" t="s">
        <v>46</v>
      </c>
      <c r="I261" t="s">
        <v>294</v>
      </c>
      <c r="J261" t="s">
        <v>48</v>
      </c>
      <c r="K261" t="s">
        <v>20</v>
      </c>
      <c r="L261" t="s">
        <v>763</v>
      </c>
      <c r="M261" s="3" t="str">
        <f>HYPERLINK("..\..\Imagery\ScannedPhotos\1981\GF81-003.1.jpg")</f>
        <v>..\..\Imagery\ScannedPhotos\1981\GF81-003.1.jpg</v>
      </c>
    </row>
    <row r="262" spans="1:13" x14ac:dyDescent="0.25">
      <c r="A262" t="s">
        <v>764</v>
      </c>
      <c r="B262">
        <v>400988</v>
      </c>
      <c r="C262">
        <v>5830857</v>
      </c>
      <c r="D262">
        <v>21</v>
      </c>
      <c r="E262" t="s">
        <v>15</v>
      </c>
      <c r="F262" t="s">
        <v>765</v>
      </c>
      <c r="G262">
        <v>4</v>
      </c>
      <c r="H262" t="s">
        <v>766</v>
      </c>
      <c r="I262" t="s">
        <v>129</v>
      </c>
      <c r="J262" t="s">
        <v>767</v>
      </c>
      <c r="K262" t="s">
        <v>20</v>
      </c>
      <c r="L262" t="s">
        <v>768</v>
      </c>
      <c r="M262" s="3" t="str">
        <f>HYPERLINK("..\..\Imagery\ScannedPhotos\1997\CG97-220.4.jpg")</f>
        <v>..\..\Imagery\ScannedPhotos\1997\CG97-220.4.jpg</v>
      </c>
    </row>
    <row r="263" spans="1:13" x14ac:dyDescent="0.25">
      <c r="A263" t="s">
        <v>764</v>
      </c>
      <c r="B263">
        <v>400988</v>
      </c>
      <c r="C263">
        <v>5830857</v>
      </c>
      <c r="D263">
        <v>21</v>
      </c>
      <c r="E263" t="s">
        <v>15</v>
      </c>
      <c r="F263" t="s">
        <v>769</v>
      </c>
      <c r="G263">
        <v>4</v>
      </c>
      <c r="H263" t="s">
        <v>770</v>
      </c>
      <c r="I263" t="s">
        <v>209</v>
      </c>
      <c r="J263" t="s">
        <v>771</v>
      </c>
      <c r="K263" t="s">
        <v>56</v>
      </c>
      <c r="L263" t="s">
        <v>772</v>
      </c>
      <c r="M263" s="3" t="str">
        <f>HYPERLINK("..\..\Imagery\ScannedPhotos\1997\CG97-220.1.jpg")</f>
        <v>..\..\Imagery\ScannedPhotos\1997\CG97-220.1.jpg</v>
      </c>
    </row>
    <row r="264" spans="1:13" x14ac:dyDescent="0.25">
      <c r="A264" t="s">
        <v>773</v>
      </c>
      <c r="B264">
        <v>391826</v>
      </c>
      <c r="C264">
        <v>5817767</v>
      </c>
      <c r="D264">
        <v>21</v>
      </c>
      <c r="E264" t="s">
        <v>15</v>
      </c>
      <c r="F264" t="s">
        <v>774</v>
      </c>
      <c r="G264">
        <v>2</v>
      </c>
      <c r="H264" t="s">
        <v>775</v>
      </c>
      <c r="I264" t="s">
        <v>79</v>
      </c>
      <c r="J264" t="s">
        <v>771</v>
      </c>
      <c r="K264" t="s">
        <v>56</v>
      </c>
      <c r="L264" t="s">
        <v>776</v>
      </c>
      <c r="M264" s="3" t="str">
        <f>HYPERLINK("..\..\Imagery\ScannedPhotos\1997\CG97-230.1.jpg")</f>
        <v>..\..\Imagery\ScannedPhotos\1997\CG97-230.1.jpg</v>
      </c>
    </row>
    <row r="265" spans="1:13" x14ac:dyDescent="0.25">
      <c r="A265" t="s">
        <v>773</v>
      </c>
      <c r="B265">
        <v>391826</v>
      </c>
      <c r="C265">
        <v>5817767</v>
      </c>
      <c r="D265">
        <v>21</v>
      </c>
      <c r="E265" t="s">
        <v>15</v>
      </c>
      <c r="F265" t="s">
        <v>777</v>
      </c>
      <c r="G265">
        <v>2</v>
      </c>
      <c r="H265" t="s">
        <v>775</v>
      </c>
      <c r="I265" t="s">
        <v>281</v>
      </c>
      <c r="J265" t="s">
        <v>771</v>
      </c>
      <c r="K265" t="s">
        <v>56</v>
      </c>
      <c r="L265" t="s">
        <v>776</v>
      </c>
      <c r="M265" s="3" t="str">
        <f>HYPERLINK("..\..\Imagery\ScannedPhotos\1997\CG97-230.2.jpg")</f>
        <v>..\..\Imagery\ScannedPhotos\1997\CG97-230.2.jpg</v>
      </c>
    </row>
    <row r="266" spans="1:13" x14ac:dyDescent="0.25">
      <c r="A266" t="s">
        <v>649</v>
      </c>
      <c r="B266">
        <v>373811</v>
      </c>
      <c r="C266">
        <v>5994164</v>
      </c>
      <c r="D266">
        <v>21</v>
      </c>
      <c r="E266" t="s">
        <v>15</v>
      </c>
      <c r="F266" t="s">
        <v>778</v>
      </c>
      <c r="G266">
        <v>2</v>
      </c>
      <c r="H266" t="s">
        <v>651</v>
      </c>
      <c r="I266" t="s">
        <v>129</v>
      </c>
      <c r="J266" t="s">
        <v>652</v>
      </c>
      <c r="K266" t="s">
        <v>20</v>
      </c>
      <c r="L266" t="s">
        <v>653</v>
      </c>
      <c r="M266" s="3" t="str">
        <f>HYPERLINK("..\..\Imagery\ScannedPhotos\1980\NN80-064.1.jpg")</f>
        <v>..\..\Imagery\ScannedPhotos\1980\NN80-064.1.jpg</v>
      </c>
    </row>
    <row r="267" spans="1:13" x14ac:dyDescent="0.25">
      <c r="A267" t="s">
        <v>779</v>
      </c>
      <c r="B267">
        <v>373387</v>
      </c>
      <c r="C267">
        <v>5993944</v>
      </c>
      <c r="D267">
        <v>21</v>
      </c>
      <c r="E267" t="s">
        <v>15</v>
      </c>
      <c r="F267" t="s">
        <v>780</v>
      </c>
      <c r="G267">
        <v>1</v>
      </c>
      <c r="H267" t="s">
        <v>781</v>
      </c>
      <c r="I267" t="s">
        <v>79</v>
      </c>
      <c r="J267" t="s">
        <v>782</v>
      </c>
      <c r="K267" t="s">
        <v>20</v>
      </c>
      <c r="L267" t="s">
        <v>783</v>
      </c>
      <c r="M267" s="3" t="str">
        <f>HYPERLINK("..\..\Imagery\ScannedPhotos\1980\NN80-065.jpg")</f>
        <v>..\..\Imagery\ScannedPhotos\1980\NN80-065.jpg</v>
      </c>
    </row>
    <row r="268" spans="1:13" x14ac:dyDescent="0.25">
      <c r="A268" t="s">
        <v>784</v>
      </c>
      <c r="B268">
        <v>373070</v>
      </c>
      <c r="C268">
        <v>5993832</v>
      </c>
      <c r="D268">
        <v>21</v>
      </c>
      <c r="E268" t="s">
        <v>15</v>
      </c>
      <c r="F268" t="s">
        <v>785</v>
      </c>
      <c r="G268">
        <v>1</v>
      </c>
      <c r="H268" t="s">
        <v>781</v>
      </c>
      <c r="I268" t="s">
        <v>281</v>
      </c>
      <c r="J268" t="s">
        <v>782</v>
      </c>
      <c r="K268" t="s">
        <v>20</v>
      </c>
      <c r="L268" t="s">
        <v>786</v>
      </c>
      <c r="M268" s="3" t="str">
        <f>HYPERLINK("..\..\Imagery\ScannedPhotos\1980\NN80-066.jpg")</f>
        <v>..\..\Imagery\ScannedPhotos\1980\NN80-066.jpg</v>
      </c>
    </row>
    <row r="269" spans="1:13" x14ac:dyDescent="0.25">
      <c r="A269" t="s">
        <v>787</v>
      </c>
      <c r="B269">
        <v>372571</v>
      </c>
      <c r="C269">
        <v>5993681</v>
      </c>
      <c r="D269">
        <v>21</v>
      </c>
      <c r="E269" t="s">
        <v>15</v>
      </c>
      <c r="F269" t="s">
        <v>788</v>
      </c>
      <c r="G269">
        <v>1</v>
      </c>
      <c r="H269" t="s">
        <v>781</v>
      </c>
      <c r="I269" t="s">
        <v>137</v>
      </c>
      <c r="J269" t="s">
        <v>782</v>
      </c>
      <c r="K269" t="s">
        <v>20</v>
      </c>
      <c r="L269" t="s">
        <v>789</v>
      </c>
      <c r="M269" s="3" t="str">
        <f>HYPERLINK("..\..\Imagery\ScannedPhotos\1980\NN80-067.jpg")</f>
        <v>..\..\Imagery\ScannedPhotos\1980\NN80-067.jpg</v>
      </c>
    </row>
    <row r="270" spans="1:13" x14ac:dyDescent="0.25">
      <c r="A270" t="s">
        <v>790</v>
      </c>
      <c r="B270">
        <v>492100</v>
      </c>
      <c r="C270">
        <v>5818420</v>
      </c>
      <c r="D270">
        <v>21</v>
      </c>
      <c r="E270" t="s">
        <v>15</v>
      </c>
      <c r="F270" t="s">
        <v>791</v>
      </c>
      <c r="G270">
        <v>1</v>
      </c>
      <c r="H270" t="s">
        <v>792</v>
      </c>
      <c r="I270" t="s">
        <v>25</v>
      </c>
      <c r="J270" t="s">
        <v>793</v>
      </c>
      <c r="K270" t="s">
        <v>20</v>
      </c>
      <c r="L270" t="s">
        <v>322</v>
      </c>
      <c r="M270" s="3" t="str">
        <f>HYPERLINK("..\..\Imagery\ScannedPhotos\1991\VN91-307.jpg")</f>
        <v>..\..\Imagery\ScannedPhotos\1991\VN91-307.jpg</v>
      </c>
    </row>
    <row r="271" spans="1:13" x14ac:dyDescent="0.25">
      <c r="A271" t="s">
        <v>794</v>
      </c>
      <c r="B271">
        <v>548706</v>
      </c>
      <c r="C271">
        <v>5790800</v>
      </c>
      <c r="D271">
        <v>21</v>
      </c>
      <c r="E271" t="s">
        <v>15</v>
      </c>
      <c r="F271" t="s">
        <v>795</v>
      </c>
      <c r="G271">
        <v>2</v>
      </c>
      <c r="H271" t="s">
        <v>796</v>
      </c>
      <c r="I271" t="s">
        <v>122</v>
      </c>
      <c r="J271" t="s">
        <v>797</v>
      </c>
      <c r="K271" t="s">
        <v>20</v>
      </c>
      <c r="L271" t="s">
        <v>798</v>
      </c>
      <c r="M271" s="3" t="str">
        <f>HYPERLINK("..\..\Imagery\ScannedPhotos\1987\JS87-167.2.jpg")</f>
        <v>..\..\Imagery\ScannedPhotos\1987\JS87-167.2.jpg</v>
      </c>
    </row>
    <row r="272" spans="1:13" x14ac:dyDescent="0.25">
      <c r="A272" t="s">
        <v>794</v>
      </c>
      <c r="B272">
        <v>548706</v>
      </c>
      <c r="C272">
        <v>5790800</v>
      </c>
      <c r="D272">
        <v>21</v>
      </c>
      <c r="E272" t="s">
        <v>15</v>
      </c>
      <c r="F272" t="s">
        <v>799</v>
      </c>
      <c r="G272">
        <v>2</v>
      </c>
      <c r="H272" t="s">
        <v>796</v>
      </c>
      <c r="I272" t="s">
        <v>119</v>
      </c>
      <c r="J272" t="s">
        <v>797</v>
      </c>
      <c r="K272" t="s">
        <v>56</v>
      </c>
      <c r="L272" t="s">
        <v>800</v>
      </c>
      <c r="M272" s="3" t="str">
        <f>HYPERLINK("..\..\Imagery\ScannedPhotos\1987\JS87-167.1.jpg")</f>
        <v>..\..\Imagery\ScannedPhotos\1987\JS87-167.1.jpg</v>
      </c>
    </row>
    <row r="273" spans="1:13" x14ac:dyDescent="0.25">
      <c r="A273" t="s">
        <v>801</v>
      </c>
      <c r="B273">
        <v>582886</v>
      </c>
      <c r="C273">
        <v>5816918</v>
      </c>
      <c r="D273">
        <v>21</v>
      </c>
      <c r="E273" t="s">
        <v>15</v>
      </c>
      <c r="F273" t="s">
        <v>802</v>
      </c>
      <c r="G273">
        <v>1</v>
      </c>
      <c r="H273" t="s">
        <v>796</v>
      </c>
      <c r="I273" t="s">
        <v>108</v>
      </c>
      <c r="J273" t="s">
        <v>797</v>
      </c>
      <c r="K273" t="s">
        <v>20</v>
      </c>
      <c r="L273" t="s">
        <v>803</v>
      </c>
      <c r="M273" s="3" t="str">
        <f>HYPERLINK("..\..\Imagery\ScannedPhotos\1987\JS87-194.jpg")</f>
        <v>..\..\Imagery\ScannedPhotos\1987\JS87-194.jpg</v>
      </c>
    </row>
    <row r="274" spans="1:13" x14ac:dyDescent="0.25">
      <c r="A274" t="s">
        <v>804</v>
      </c>
      <c r="B274">
        <v>410741</v>
      </c>
      <c r="C274">
        <v>5985773</v>
      </c>
      <c r="D274">
        <v>21</v>
      </c>
      <c r="E274" t="s">
        <v>15</v>
      </c>
      <c r="F274" t="s">
        <v>805</v>
      </c>
      <c r="G274">
        <v>2</v>
      </c>
      <c r="H274" t="s">
        <v>806</v>
      </c>
      <c r="I274" t="s">
        <v>281</v>
      </c>
      <c r="J274" t="s">
        <v>807</v>
      </c>
      <c r="K274" t="s">
        <v>20</v>
      </c>
      <c r="L274" t="s">
        <v>808</v>
      </c>
      <c r="M274" s="3" t="str">
        <f>HYPERLINK("..\..\Imagery\ScannedPhotos\1980\CG80-425.1.jpg")</f>
        <v>..\..\Imagery\ScannedPhotos\1980\CG80-425.1.jpg</v>
      </c>
    </row>
    <row r="275" spans="1:13" x14ac:dyDescent="0.25">
      <c r="A275" t="s">
        <v>809</v>
      </c>
      <c r="B275">
        <v>427350</v>
      </c>
      <c r="C275">
        <v>5778625</v>
      </c>
      <c r="D275">
        <v>21</v>
      </c>
      <c r="E275" t="s">
        <v>15</v>
      </c>
      <c r="F275" t="s">
        <v>810</v>
      </c>
      <c r="G275">
        <v>3</v>
      </c>
      <c r="H275" t="s">
        <v>766</v>
      </c>
      <c r="I275" t="s">
        <v>18</v>
      </c>
      <c r="J275" t="s">
        <v>767</v>
      </c>
      <c r="K275" t="s">
        <v>20</v>
      </c>
      <c r="L275" t="s">
        <v>811</v>
      </c>
      <c r="M275" s="3" t="str">
        <f>HYPERLINK("..\..\Imagery\ScannedPhotos\1999\CG99-029.1.jpg")</f>
        <v>..\..\Imagery\ScannedPhotos\1999\CG99-029.1.jpg</v>
      </c>
    </row>
    <row r="276" spans="1:13" x14ac:dyDescent="0.25">
      <c r="A276" t="s">
        <v>32</v>
      </c>
      <c r="B276">
        <v>596446</v>
      </c>
      <c r="C276">
        <v>5792950</v>
      </c>
      <c r="D276">
        <v>21</v>
      </c>
      <c r="E276" t="s">
        <v>15</v>
      </c>
      <c r="F276" t="s">
        <v>812</v>
      </c>
      <c r="G276">
        <v>40</v>
      </c>
      <c r="H276" t="s">
        <v>813</v>
      </c>
      <c r="I276" t="s">
        <v>294</v>
      </c>
      <c r="J276" t="s">
        <v>814</v>
      </c>
      <c r="K276" t="s">
        <v>228</v>
      </c>
      <c r="L276" t="s">
        <v>37</v>
      </c>
      <c r="M276" s="3" t="str">
        <f>HYPERLINK("..\..\Imagery\ScannedPhotos\1987\CG87-488.12.jpg")</f>
        <v>..\..\Imagery\ScannedPhotos\1987\CG87-488.12.jpg</v>
      </c>
    </row>
    <row r="277" spans="1:13" x14ac:dyDescent="0.25">
      <c r="A277" t="s">
        <v>815</v>
      </c>
      <c r="B277">
        <v>545403</v>
      </c>
      <c r="C277">
        <v>5937565</v>
      </c>
      <c r="D277">
        <v>21</v>
      </c>
      <c r="E277" t="s">
        <v>15</v>
      </c>
      <c r="F277" t="s">
        <v>816</v>
      </c>
      <c r="G277">
        <v>1</v>
      </c>
      <c r="H277" t="s">
        <v>817</v>
      </c>
      <c r="I277" t="s">
        <v>147</v>
      </c>
      <c r="J277" t="s">
        <v>48</v>
      </c>
      <c r="K277" t="s">
        <v>20</v>
      </c>
      <c r="L277" t="s">
        <v>818</v>
      </c>
      <c r="M277" s="3" t="str">
        <f>HYPERLINK("..\..\Imagery\ScannedPhotos\1981\VO81-583.jpg")</f>
        <v>..\..\Imagery\ScannedPhotos\1981\VO81-583.jpg</v>
      </c>
    </row>
    <row r="278" spans="1:13" x14ac:dyDescent="0.25">
      <c r="A278" t="s">
        <v>819</v>
      </c>
      <c r="B278">
        <v>548610</v>
      </c>
      <c r="C278">
        <v>5937362</v>
      </c>
      <c r="D278">
        <v>21</v>
      </c>
      <c r="E278" t="s">
        <v>15</v>
      </c>
      <c r="F278" t="s">
        <v>820</v>
      </c>
      <c r="G278">
        <v>1</v>
      </c>
      <c r="H278" t="s">
        <v>817</v>
      </c>
      <c r="I278" t="s">
        <v>47</v>
      </c>
      <c r="J278" t="s">
        <v>48</v>
      </c>
      <c r="K278" t="s">
        <v>20</v>
      </c>
      <c r="L278" t="s">
        <v>821</v>
      </c>
      <c r="M278" s="3" t="str">
        <f>HYPERLINK("..\..\Imagery\ScannedPhotos\1981\VO81-590.jpg")</f>
        <v>..\..\Imagery\ScannedPhotos\1981\VO81-590.jpg</v>
      </c>
    </row>
    <row r="279" spans="1:13" x14ac:dyDescent="0.25">
      <c r="A279" t="s">
        <v>822</v>
      </c>
      <c r="B279">
        <v>552798</v>
      </c>
      <c r="C279">
        <v>5934730</v>
      </c>
      <c r="D279">
        <v>21</v>
      </c>
      <c r="E279" t="s">
        <v>15</v>
      </c>
      <c r="F279" t="s">
        <v>823</v>
      </c>
      <c r="G279">
        <v>1</v>
      </c>
      <c r="H279" t="s">
        <v>824</v>
      </c>
      <c r="I279" t="s">
        <v>18</v>
      </c>
      <c r="J279" t="s">
        <v>48</v>
      </c>
      <c r="K279" t="s">
        <v>20</v>
      </c>
      <c r="L279" t="s">
        <v>825</v>
      </c>
      <c r="M279" s="3" t="str">
        <f>HYPERLINK("..\..\Imagery\ScannedPhotos\1981\VO81-619.jpg")</f>
        <v>..\..\Imagery\ScannedPhotos\1981\VO81-619.jpg</v>
      </c>
    </row>
    <row r="280" spans="1:13" x14ac:dyDescent="0.25">
      <c r="A280" t="s">
        <v>826</v>
      </c>
      <c r="B280">
        <v>555945</v>
      </c>
      <c r="C280">
        <v>5937323</v>
      </c>
      <c r="D280">
        <v>21</v>
      </c>
      <c r="E280" t="s">
        <v>15</v>
      </c>
      <c r="F280" t="s">
        <v>827</v>
      </c>
      <c r="G280">
        <v>2</v>
      </c>
      <c r="H280" t="s">
        <v>824</v>
      </c>
      <c r="I280" t="s">
        <v>85</v>
      </c>
      <c r="J280" t="s">
        <v>48</v>
      </c>
      <c r="K280" t="s">
        <v>20</v>
      </c>
      <c r="L280" t="s">
        <v>828</v>
      </c>
      <c r="M280" s="3" t="str">
        <f>HYPERLINK("..\..\Imagery\ScannedPhotos\1981\VO81-631.1.jpg")</f>
        <v>..\..\Imagery\ScannedPhotos\1981\VO81-631.1.jpg</v>
      </c>
    </row>
    <row r="281" spans="1:13" x14ac:dyDescent="0.25">
      <c r="A281" t="s">
        <v>826</v>
      </c>
      <c r="B281">
        <v>555945</v>
      </c>
      <c r="C281">
        <v>5937323</v>
      </c>
      <c r="D281">
        <v>21</v>
      </c>
      <c r="E281" t="s">
        <v>15</v>
      </c>
      <c r="F281" t="s">
        <v>829</v>
      </c>
      <c r="G281">
        <v>2</v>
      </c>
      <c r="H281" t="s">
        <v>824</v>
      </c>
      <c r="I281" t="s">
        <v>375</v>
      </c>
      <c r="J281" t="s">
        <v>48</v>
      </c>
      <c r="K281" t="s">
        <v>20</v>
      </c>
      <c r="L281" t="s">
        <v>828</v>
      </c>
      <c r="M281" s="3" t="str">
        <f>HYPERLINK("..\..\Imagery\ScannedPhotos\1981\VO81-631.2.jpg")</f>
        <v>..\..\Imagery\ScannedPhotos\1981\VO81-631.2.jpg</v>
      </c>
    </row>
    <row r="282" spans="1:13" x14ac:dyDescent="0.25">
      <c r="A282" t="s">
        <v>830</v>
      </c>
      <c r="B282">
        <v>566018</v>
      </c>
      <c r="C282">
        <v>5932990</v>
      </c>
      <c r="D282">
        <v>21</v>
      </c>
      <c r="E282" t="s">
        <v>15</v>
      </c>
      <c r="F282" t="s">
        <v>831</v>
      </c>
      <c r="G282">
        <v>2</v>
      </c>
      <c r="H282" t="s">
        <v>824</v>
      </c>
      <c r="I282" t="s">
        <v>386</v>
      </c>
      <c r="J282" t="s">
        <v>48</v>
      </c>
      <c r="K282" t="s">
        <v>20</v>
      </c>
      <c r="L282" t="s">
        <v>832</v>
      </c>
      <c r="M282" s="3" t="str">
        <f>HYPERLINK("..\..\Imagery\ScannedPhotos\1981\VO81-637.2.jpg")</f>
        <v>..\..\Imagery\ScannedPhotos\1981\VO81-637.2.jpg</v>
      </c>
    </row>
    <row r="283" spans="1:13" x14ac:dyDescent="0.25">
      <c r="A283" t="s">
        <v>833</v>
      </c>
      <c r="B283">
        <v>490651</v>
      </c>
      <c r="C283">
        <v>6039283</v>
      </c>
      <c r="D283">
        <v>21</v>
      </c>
      <c r="E283" t="s">
        <v>15</v>
      </c>
      <c r="F283" t="s">
        <v>834</v>
      </c>
      <c r="G283">
        <v>6</v>
      </c>
      <c r="H283" t="s">
        <v>835</v>
      </c>
      <c r="I283" t="s">
        <v>65</v>
      </c>
      <c r="J283" t="s">
        <v>423</v>
      </c>
      <c r="K283" t="s">
        <v>20</v>
      </c>
      <c r="L283" t="s">
        <v>836</v>
      </c>
      <c r="M283" s="3" t="str">
        <f>HYPERLINK("..\..\Imagery\ScannedPhotos\1979\CG79-359.5.jpg")</f>
        <v>..\..\Imagery\ScannedPhotos\1979\CG79-359.5.jpg</v>
      </c>
    </row>
    <row r="284" spans="1:13" x14ac:dyDescent="0.25">
      <c r="A284" t="s">
        <v>833</v>
      </c>
      <c r="B284">
        <v>490651</v>
      </c>
      <c r="C284">
        <v>6039283</v>
      </c>
      <c r="D284">
        <v>21</v>
      </c>
      <c r="E284" t="s">
        <v>15</v>
      </c>
      <c r="F284" t="s">
        <v>837</v>
      </c>
      <c r="G284">
        <v>6</v>
      </c>
      <c r="H284" t="s">
        <v>835</v>
      </c>
      <c r="I284" t="s">
        <v>147</v>
      </c>
      <c r="J284" t="s">
        <v>423</v>
      </c>
      <c r="K284" t="s">
        <v>56</v>
      </c>
      <c r="L284" t="s">
        <v>838</v>
      </c>
      <c r="M284" s="3" t="str">
        <f>HYPERLINK("..\..\Imagery\ScannedPhotos\1979\CG79-359.2.jpg")</f>
        <v>..\..\Imagery\ScannedPhotos\1979\CG79-359.2.jpg</v>
      </c>
    </row>
    <row r="285" spans="1:13" x14ac:dyDescent="0.25">
      <c r="A285" t="s">
        <v>833</v>
      </c>
      <c r="B285">
        <v>490651</v>
      </c>
      <c r="C285">
        <v>6039283</v>
      </c>
      <c r="D285">
        <v>21</v>
      </c>
      <c r="E285" t="s">
        <v>15</v>
      </c>
      <c r="F285" t="s">
        <v>839</v>
      </c>
      <c r="G285">
        <v>6</v>
      </c>
      <c r="H285" t="s">
        <v>835</v>
      </c>
      <c r="I285" t="s">
        <v>47</v>
      </c>
      <c r="J285" t="s">
        <v>423</v>
      </c>
      <c r="K285" t="s">
        <v>20</v>
      </c>
      <c r="L285" t="s">
        <v>838</v>
      </c>
      <c r="M285" s="3" t="str">
        <f>HYPERLINK("..\..\Imagery\ScannedPhotos\1979\CG79-359.3.jpg")</f>
        <v>..\..\Imagery\ScannedPhotos\1979\CG79-359.3.jpg</v>
      </c>
    </row>
    <row r="286" spans="1:13" x14ac:dyDescent="0.25">
      <c r="A286" t="s">
        <v>840</v>
      </c>
      <c r="B286">
        <v>577126</v>
      </c>
      <c r="C286">
        <v>5905960</v>
      </c>
      <c r="D286">
        <v>21</v>
      </c>
      <c r="E286" t="s">
        <v>15</v>
      </c>
      <c r="F286" t="s">
        <v>841</v>
      </c>
      <c r="G286">
        <v>3</v>
      </c>
      <c r="H286" t="s">
        <v>136</v>
      </c>
      <c r="I286" t="s">
        <v>122</v>
      </c>
      <c r="J286" t="s">
        <v>138</v>
      </c>
      <c r="K286" t="s">
        <v>20</v>
      </c>
      <c r="L286" t="s">
        <v>842</v>
      </c>
      <c r="M286" s="3" t="str">
        <f>HYPERLINK("..\..\Imagery\ScannedPhotos\1985\GM85-550.2.jpg")</f>
        <v>..\..\Imagery\ScannedPhotos\1985\GM85-550.2.jpg</v>
      </c>
    </row>
    <row r="287" spans="1:13" x14ac:dyDescent="0.25">
      <c r="A287" t="s">
        <v>843</v>
      </c>
      <c r="B287">
        <v>400849</v>
      </c>
      <c r="C287">
        <v>5943539</v>
      </c>
      <c r="D287">
        <v>21</v>
      </c>
      <c r="E287" t="s">
        <v>15</v>
      </c>
      <c r="F287" t="s">
        <v>844</v>
      </c>
      <c r="G287">
        <v>3</v>
      </c>
      <c r="H287" t="s">
        <v>845</v>
      </c>
      <c r="I287" t="s">
        <v>418</v>
      </c>
      <c r="J287" t="s">
        <v>48</v>
      </c>
      <c r="K287" t="s">
        <v>228</v>
      </c>
      <c r="L287" t="s">
        <v>846</v>
      </c>
      <c r="M287" s="3" t="str">
        <f>HYPERLINK("..\..\Imagery\ScannedPhotos\1981\CG81-593.2.jpg")</f>
        <v>..\..\Imagery\ScannedPhotos\1981\CG81-593.2.jpg</v>
      </c>
    </row>
    <row r="288" spans="1:13" x14ac:dyDescent="0.25">
      <c r="A288" t="s">
        <v>847</v>
      </c>
      <c r="B288">
        <v>483250</v>
      </c>
      <c r="C288">
        <v>5843642</v>
      </c>
      <c r="D288">
        <v>21</v>
      </c>
      <c r="E288" t="s">
        <v>15</v>
      </c>
      <c r="F288" t="s">
        <v>848</v>
      </c>
      <c r="G288">
        <v>2</v>
      </c>
      <c r="H288" t="s">
        <v>849</v>
      </c>
      <c r="I288" t="s">
        <v>69</v>
      </c>
      <c r="J288" t="s">
        <v>850</v>
      </c>
      <c r="K288" t="s">
        <v>20</v>
      </c>
      <c r="L288" t="s">
        <v>851</v>
      </c>
      <c r="M288" s="3" t="str">
        <f>HYPERLINK("..\..\Imagery\ScannedPhotos\1991\VN91-163.2.jpg")</f>
        <v>..\..\Imagery\ScannedPhotos\1991\VN91-163.2.jpg</v>
      </c>
    </row>
    <row r="289" spans="1:13" x14ac:dyDescent="0.25">
      <c r="A289" t="s">
        <v>852</v>
      </c>
      <c r="B289">
        <v>474964</v>
      </c>
      <c r="C289">
        <v>5819158</v>
      </c>
      <c r="D289">
        <v>21</v>
      </c>
      <c r="E289" t="s">
        <v>15</v>
      </c>
      <c r="F289" t="s">
        <v>853</v>
      </c>
      <c r="G289">
        <v>2</v>
      </c>
      <c r="H289" t="s">
        <v>849</v>
      </c>
      <c r="I289" t="s">
        <v>41</v>
      </c>
      <c r="J289" t="s">
        <v>850</v>
      </c>
      <c r="K289" t="s">
        <v>56</v>
      </c>
      <c r="L289" t="s">
        <v>854</v>
      </c>
      <c r="M289" s="3" t="str">
        <f>HYPERLINK("..\..\Imagery\ScannedPhotos\1991\VN91-166.1.jpg")</f>
        <v>..\..\Imagery\ScannedPhotos\1991\VN91-166.1.jpg</v>
      </c>
    </row>
    <row r="290" spans="1:13" x14ac:dyDescent="0.25">
      <c r="A290" t="s">
        <v>852</v>
      </c>
      <c r="B290">
        <v>474964</v>
      </c>
      <c r="C290">
        <v>5819158</v>
      </c>
      <c r="D290">
        <v>21</v>
      </c>
      <c r="E290" t="s">
        <v>15</v>
      </c>
      <c r="F290" t="s">
        <v>855</v>
      </c>
      <c r="G290">
        <v>2</v>
      </c>
      <c r="H290" t="s">
        <v>849</v>
      </c>
      <c r="I290" t="s">
        <v>85</v>
      </c>
      <c r="J290" t="s">
        <v>850</v>
      </c>
      <c r="K290" t="s">
        <v>56</v>
      </c>
      <c r="L290" t="s">
        <v>854</v>
      </c>
      <c r="M290" s="3" t="str">
        <f>HYPERLINK("..\..\Imagery\ScannedPhotos\1991\VN91-166.2.jpg")</f>
        <v>..\..\Imagery\ScannedPhotos\1991\VN91-166.2.jpg</v>
      </c>
    </row>
    <row r="291" spans="1:13" x14ac:dyDescent="0.25">
      <c r="A291" t="s">
        <v>856</v>
      </c>
      <c r="B291">
        <v>490542</v>
      </c>
      <c r="C291">
        <v>5855198</v>
      </c>
      <c r="D291">
        <v>21</v>
      </c>
      <c r="E291" t="s">
        <v>15</v>
      </c>
      <c r="F291" t="s">
        <v>857</v>
      </c>
      <c r="G291">
        <v>7</v>
      </c>
      <c r="H291" t="s">
        <v>849</v>
      </c>
      <c r="I291" t="s">
        <v>386</v>
      </c>
      <c r="J291" t="s">
        <v>850</v>
      </c>
      <c r="K291" t="s">
        <v>20</v>
      </c>
      <c r="L291" t="s">
        <v>858</v>
      </c>
      <c r="M291" s="3" t="str">
        <f>HYPERLINK("..\..\Imagery\ScannedPhotos\1991\VN91-180.4.jpg")</f>
        <v>..\..\Imagery\ScannedPhotos\1991\VN91-180.4.jpg</v>
      </c>
    </row>
    <row r="292" spans="1:13" x14ac:dyDescent="0.25">
      <c r="A292" t="s">
        <v>859</v>
      </c>
      <c r="B292">
        <v>480915</v>
      </c>
      <c r="C292">
        <v>5931165</v>
      </c>
      <c r="D292">
        <v>21</v>
      </c>
      <c r="E292" t="s">
        <v>15</v>
      </c>
      <c r="F292" t="s">
        <v>860</v>
      </c>
      <c r="G292">
        <v>10</v>
      </c>
      <c r="H292" t="s">
        <v>201</v>
      </c>
      <c r="I292" t="s">
        <v>143</v>
      </c>
      <c r="J292" t="s">
        <v>202</v>
      </c>
      <c r="K292" t="s">
        <v>20</v>
      </c>
      <c r="L292" t="s">
        <v>861</v>
      </c>
      <c r="M292" s="3" t="str">
        <f>HYPERLINK("..\..\Imagery\ScannedPhotos\1984\CG84-436.4.jpg")</f>
        <v>..\..\Imagery\ScannedPhotos\1984\CG84-436.4.jpg</v>
      </c>
    </row>
    <row r="293" spans="1:13" x14ac:dyDescent="0.25">
      <c r="A293" t="s">
        <v>862</v>
      </c>
      <c r="B293">
        <v>407978</v>
      </c>
      <c r="C293">
        <v>5797066</v>
      </c>
      <c r="D293">
        <v>21</v>
      </c>
      <c r="E293" t="s">
        <v>15</v>
      </c>
      <c r="F293" t="s">
        <v>863</v>
      </c>
      <c r="G293">
        <v>1</v>
      </c>
      <c r="H293" t="s">
        <v>738</v>
      </c>
      <c r="I293" t="s">
        <v>47</v>
      </c>
      <c r="J293" t="s">
        <v>739</v>
      </c>
      <c r="K293" t="s">
        <v>56</v>
      </c>
      <c r="L293" t="s">
        <v>864</v>
      </c>
      <c r="M293" s="3" t="str">
        <f>HYPERLINK("..\..\Imagery\ScannedPhotos\1999\CG99-091.jpg")</f>
        <v>..\..\Imagery\ScannedPhotos\1999\CG99-091.jpg</v>
      </c>
    </row>
    <row r="294" spans="1:13" x14ac:dyDescent="0.25">
      <c r="A294" t="s">
        <v>865</v>
      </c>
      <c r="B294">
        <v>407978</v>
      </c>
      <c r="C294">
        <v>5786173</v>
      </c>
      <c r="D294">
        <v>21</v>
      </c>
      <c r="E294" t="s">
        <v>15</v>
      </c>
      <c r="F294" t="s">
        <v>866</v>
      </c>
      <c r="G294">
        <v>1</v>
      </c>
      <c r="H294" t="s">
        <v>738</v>
      </c>
      <c r="I294" t="s">
        <v>52</v>
      </c>
      <c r="J294" t="s">
        <v>739</v>
      </c>
      <c r="K294" t="s">
        <v>20</v>
      </c>
      <c r="L294" t="s">
        <v>867</v>
      </c>
      <c r="M294" s="3" t="str">
        <f>HYPERLINK("..\..\Imagery\ScannedPhotos\1999\CG99-103.jpg")</f>
        <v>..\..\Imagery\ScannedPhotos\1999\CG99-103.jpg</v>
      </c>
    </row>
    <row r="295" spans="1:13" x14ac:dyDescent="0.25">
      <c r="A295" t="s">
        <v>523</v>
      </c>
      <c r="B295">
        <v>575599</v>
      </c>
      <c r="C295">
        <v>5756653</v>
      </c>
      <c r="D295">
        <v>21</v>
      </c>
      <c r="E295" t="s">
        <v>15</v>
      </c>
      <c r="F295" t="s">
        <v>868</v>
      </c>
      <c r="G295">
        <v>16</v>
      </c>
      <c r="H295" t="s">
        <v>869</v>
      </c>
      <c r="I295" t="s">
        <v>143</v>
      </c>
      <c r="J295" t="s">
        <v>870</v>
      </c>
      <c r="K295" t="s">
        <v>20</v>
      </c>
      <c r="L295" t="s">
        <v>871</v>
      </c>
      <c r="M295" s="3" t="str">
        <f>HYPERLINK("..\..\Imagery\ScannedPhotos\1993\VN93-662.2.jpg")</f>
        <v>..\..\Imagery\ScannedPhotos\1993\VN93-662.2.jpg</v>
      </c>
    </row>
    <row r="296" spans="1:13" x14ac:dyDescent="0.25">
      <c r="A296" t="s">
        <v>872</v>
      </c>
      <c r="B296">
        <v>575531</v>
      </c>
      <c r="C296">
        <v>5839075</v>
      </c>
      <c r="D296">
        <v>21</v>
      </c>
      <c r="E296" t="s">
        <v>15</v>
      </c>
      <c r="F296" t="s">
        <v>873</v>
      </c>
      <c r="G296">
        <v>3</v>
      </c>
      <c r="H296" t="s">
        <v>874</v>
      </c>
      <c r="I296" t="s">
        <v>401</v>
      </c>
      <c r="J296" t="s">
        <v>300</v>
      </c>
      <c r="K296" t="s">
        <v>20</v>
      </c>
      <c r="L296" t="s">
        <v>875</v>
      </c>
      <c r="M296" s="3" t="str">
        <f>HYPERLINK("..\..\Imagery\ScannedPhotos\1986\SN86-331.2.jpg")</f>
        <v>..\..\Imagery\ScannedPhotos\1986\SN86-331.2.jpg</v>
      </c>
    </row>
    <row r="297" spans="1:13" x14ac:dyDescent="0.25">
      <c r="A297" t="s">
        <v>872</v>
      </c>
      <c r="B297">
        <v>575531</v>
      </c>
      <c r="C297">
        <v>5839075</v>
      </c>
      <c r="D297">
        <v>21</v>
      </c>
      <c r="E297" t="s">
        <v>15</v>
      </c>
      <c r="F297" t="s">
        <v>876</v>
      </c>
      <c r="G297">
        <v>3</v>
      </c>
      <c r="H297" t="s">
        <v>874</v>
      </c>
      <c r="I297" t="s">
        <v>409</v>
      </c>
      <c r="J297" t="s">
        <v>300</v>
      </c>
      <c r="K297" t="s">
        <v>20</v>
      </c>
      <c r="L297" t="s">
        <v>877</v>
      </c>
      <c r="M297" s="3" t="str">
        <f>HYPERLINK("..\..\Imagery\ScannedPhotos\1986\SN86-331.3.jpg")</f>
        <v>..\..\Imagery\ScannedPhotos\1986\SN86-331.3.jpg</v>
      </c>
    </row>
    <row r="298" spans="1:13" x14ac:dyDescent="0.25">
      <c r="A298" t="s">
        <v>878</v>
      </c>
      <c r="B298">
        <v>564556</v>
      </c>
      <c r="C298">
        <v>5821503</v>
      </c>
      <c r="D298">
        <v>21</v>
      </c>
      <c r="E298" t="s">
        <v>15</v>
      </c>
      <c r="F298" t="s">
        <v>879</v>
      </c>
      <c r="G298">
        <v>3</v>
      </c>
      <c r="H298" t="s">
        <v>68</v>
      </c>
      <c r="I298" t="s">
        <v>137</v>
      </c>
      <c r="J298" t="s">
        <v>70</v>
      </c>
      <c r="K298" t="s">
        <v>56</v>
      </c>
      <c r="L298" t="s">
        <v>880</v>
      </c>
      <c r="M298" s="3" t="str">
        <f>HYPERLINK("..\..\Imagery\ScannedPhotos\1986\SN86-136.2.jpg")</f>
        <v>..\..\Imagery\ScannedPhotos\1986\SN86-136.2.jpg</v>
      </c>
    </row>
    <row r="299" spans="1:13" x14ac:dyDescent="0.25">
      <c r="A299" t="s">
        <v>878</v>
      </c>
      <c r="B299">
        <v>564556</v>
      </c>
      <c r="C299">
        <v>5821503</v>
      </c>
      <c r="D299">
        <v>21</v>
      </c>
      <c r="E299" t="s">
        <v>15</v>
      </c>
      <c r="F299" t="s">
        <v>881</v>
      </c>
      <c r="G299">
        <v>3</v>
      </c>
      <c r="H299" t="s">
        <v>68</v>
      </c>
      <c r="I299" t="s">
        <v>18</v>
      </c>
      <c r="J299" t="s">
        <v>70</v>
      </c>
      <c r="K299" t="s">
        <v>20</v>
      </c>
      <c r="L299" t="s">
        <v>882</v>
      </c>
      <c r="M299" s="3" t="str">
        <f>HYPERLINK("..\..\Imagery\ScannedPhotos\1986\SN86-136.3.jpg")</f>
        <v>..\..\Imagery\ScannedPhotos\1986\SN86-136.3.jpg</v>
      </c>
    </row>
    <row r="300" spans="1:13" x14ac:dyDescent="0.25">
      <c r="A300" t="s">
        <v>883</v>
      </c>
      <c r="B300">
        <v>534350</v>
      </c>
      <c r="C300">
        <v>5727725</v>
      </c>
      <c r="D300">
        <v>21</v>
      </c>
      <c r="E300" t="s">
        <v>15</v>
      </c>
      <c r="F300" t="s">
        <v>884</v>
      </c>
      <c r="G300">
        <v>1</v>
      </c>
      <c r="H300" t="s">
        <v>885</v>
      </c>
      <c r="I300" t="s">
        <v>214</v>
      </c>
      <c r="J300" t="s">
        <v>886</v>
      </c>
      <c r="K300" t="s">
        <v>20</v>
      </c>
      <c r="L300" t="s">
        <v>887</v>
      </c>
      <c r="M300" s="3" t="str">
        <f>HYPERLINK("..\..\Imagery\ScannedPhotos\1993\CG93-083.jpg")</f>
        <v>..\..\Imagery\ScannedPhotos\1993\CG93-083.jpg</v>
      </c>
    </row>
    <row r="301" spans="1:13" x14ac:dyDescent="0.25">
      <c r="A301" t="s">
        <v>888</v>
      </c>
      <c r="B301">
        <v>475175</v>
      </c>
      <c r="C301">
        <v>5853150</v>
      </c>
      <c r="D301">
        <v>21</v>
      </c>
      <c r="E301" t="s">
        <v>15</v>
      </c>
      <c r="F301" t="s">
        <v>889</v>
      </c>
      <c r="G301">
        <v>1</v>
      </c>
      <c r="H301" t="s">
        <v>890</v>
      </c>
      <c r="I301" t="s">
        <v>65</v>
      </c>
      <c r="J301" t="s">
        <v>891</v>
      </c>
      <c r="K301" t="s">
        <v>20</v>
      </c>
      <c r="L301" t="s">
        <v>892</v>
      </c>
      <c r="M301" s="3" t="str">
        <f>HYPERLINK("..\..\Imagery\ScannedPhotos\1991\VN91-249.jpg")</f>
        <v>..\..\Imagery\ScannedPhotos\1991\VN91-249.jpg</v>
      </c>
    </row>
    <row r="302" spans="1:13" x14ac:dyDescent="0.25">
      <c r="A302" t="s">
        <v>893</v>
      </c>
      <c r="B302">
        <v>385887</v>
      </c>
      <c r="C302">
        <v>5999284</v>
      </c>
      <c r="D302">
        <v>21</v>
      </c>
      <c r="E302" t="s">
        <v>15</v>
      </c>
      <c r="F302" t="s">
        <v>894</v>
      </c>
      <c r="G302">
        <v>6</v>
      </c>
      <c r="H302" t="s">
        <v>651</v>
      </c>
      <c r="I302" t="s">
        <v>647</v>
      </c>
      <c r="J302" t="s">
        <v>652</v>
      </c>
      <c r="K302" t="s">
        <v>20</v>
      </c>
      <c r="L302" t="s">
        <v>895</v>
      </c>
      <c r="M302" s="3" t="str">
        <f>HYPERLINK("..\..\Imagery\ScannedPhotos\1980\NN80-059.1.jpg")</f>
        <v>..\..\Imagery\ScannedPhotos\1980\NN80-059.1.jpg</v>
      </c>
    </row>
    <row r="303" spans="1:13" x14ac:dyDescent="0.25">
      <c r="A303" t="s">
        <v>893</v>
      </c>
      <c r="B303">
        <v>385887</v>
      </c>
      <c r="C303">
        <v>5999284</v>
      </c>
      <c r="D303">
        <v>21</v>
      </c>
      <c r="E303" t="s">
        <v>15</v>
      </c>
      <c r="F303" t="s">
        <v>896</v>
      </c>
      <c r="G303">
        <v>6</v>
      </c>
      <c r="H303" t="s">
        <v>651</v>
      </c>
      <c r="I303" t="s">
        <v>119</v>
      </c>
      <c r="J303" t="s">
        <v>652</v>
      </c>
      <c r="K303" t="s">
        <v>20</v>
      </c>
      <c r="L303" t="s">
        <v>897</v>
      </c>
      <c r="M303" s="3" t="str">
        <f>HYPERLINK("..\..\Imagery\ScannedPhotos\1980\NN80-059.4.jpg")</f>
        <v>..\..\Imagery\ScannedPhotos\1980\NN80-059.4.jpg</v>
      </c>
    </row>
    <row r="304" spans="1:13" x14ac:dyDescent="0.25">
      <c r="A304" t="s">
        <v>898</v>
      </c>
      <c r="B304">
        <v>421411</v>
      </c>
      <c r="C304">
        <v>6009582</v>
      </c>
      <c r="D304">
        <v>21</v>
      </c>
      <c r="E304" t="s">
        <v>15</v>
      </c>
      <c r="F304" t="s">
        <v>899</v>
      </c>
      <c r="G304">
        <v>1</v>
      </c>
      <c r="H304" t="s">
        <v>900</v>
      </c>
      <c r="I304" t="s">
        <v>108</v>
      </c>
      <c r="J304" t="s">
        <v>652</v>
      </c>
      <c r="K304" t="s">
        <v>20</v>
      </c>
      <c r="L304" t="s">
        <v>901</v>
      </c>
      <c r="M304" s="3" t="str">
        <f>HYPERLINK("..\..\Imagery\ScannedPhotos\1980\RG80-030.jpg")</f>
        <v>..\..\Imagery\ScannedPhotos\1980\RG80-030.jpg</v>
      </c>
    </row>
    <row r="305" spans="1:13" x14ac:dyDescent="0.25">
      <c r="A305" t="s">
        <v>902</v>
      </c>
      <c r="B305">
        <v>439773</v>
      </c>
      <c r="C305">
        <v>5775232</v>
      </c>
      <c r="D305">
        <v>21</v>
      </c>
      <c r="E305" t="s">
        <v>15</v>
      </c>
      <c r="F305" t="s">
        <v>903</v>
      </c>
      <c r="G305">
        <v>6</v>
      </c>
      <c r="H305" t="s">
        <v>904</v>
      </c>
      <c r="I305" t="s">
        <v>418</v>
      </c>
      <c r="J305" t="s">
        <v>905</v>
      </c>
      <c r="K305" t="s">
        <v>20</v>
      </c>
      <c r="L305" t="s">
        <v>906</v>
      </c>
      <c r="M305" s="3" t="str">
        <f>HYPERLINK("..\..\Imagery\ScannedPhotos\1992\VN92-218.5.jpg")</f>
        <v>..\..\Imagery\ScannedPhotos\1992\VN92-218.5.jpg</v>
      </c>
    </row>
    <row r="306" spans="1:13" x14ac:dyDescent="0.25">
      <c r="A306" t="s">
        <v>907</v>
      </c>
      <c r="B306">
        <v>534880</v>
      </c>
      <c r="C306">
        <v>5726220</v>
      </c>
      <c r="D306">
        <v>21</v>
      </c>
      <c r="E306" t="s">
        <v>15</v>
      </c>
      <c r="F306" t="s">
        <v>908</v>
      </c>
      <c r="G306">
        <v>4</v>
      </c>
      <c r="H306" t="s">
        <v>885</v>
      </c>
      <c r="I306" t="s">
        <v>195</v>
      </c>
      <c r="J306" t="s">
        <v>886</v>
      </c>
      <c r="K306" t="s">
        <v>20</v>
      </c>
      <c r="L306" t="s">
        <v>909</v>
      </c>
      <c r="M306" s="3" t="str">
        <f>HYPERLINK("..\..\Imagery\ScannedPhotos\1993\CG93-119.2.jpg")</f>
        <v>..\..\Imagery\ScannedPhotos\1993\CG93-119.2.jpg</v>
      </c>
    </row>
    <row r="307" spans="1:13" x14ac:dyDescent="0.25">
      <c r="A307" t="s">
        <v>907</v>
      </c>
      <c r="B307">
        <v>534880</v>
      </c>
      <c r="C307">
        <v>5726220</v>
      </c>
      <c r="D307">
        <v>21</v>
      </c>
      <c r="E307" t="s">
        <v>15</v>
      </c>
      <c r="F307" t="s">
        <v>910</v>
      </c>
      <c r="G307">
        <v>4</v>
      </c>
      <c r="H307" t="s">
        <v>885</v>
      </c>
      <c r="I307" t="s">
        <v>25</v>
      </c>
      <c r="J307" t="s">
        <v>886</v>
      </c>
      <c r="K307" t="s">
        <v>20</v>
      </c>
      <c r="L307" t="s">
        <v>911</v>
      </c>
      <c r="M307" s="3" t="str">
        <f>HYPERLINK("..\..\Imagery\ScannedPhotos\1993\CG93-119.3.jpg")</f>
        <v>..\..\Imagery\ScannedPhotos\1993\CG93-119.3.jpg</v>
      </c>
    </row>
    <row r="308" spans="1:13" x14ac:dyDescent="0.25">
      <c r="A308" t="s">
        <v>912</v>
      </c>
      <c r="B308">
        <v>367510</v>
      </c>
      <c r="C308">
        <v>6038440</v>
      </c>
      <c r="D308">
        <v>21</v>
      </c>
      <c r="E308" t="s">
        <v>15</v>
      </c>
      <c r="F308" t="s">
        <v>913</v>
      </c>
      <c r="G308">
        <v>1</v>
      </c>
      <c r="H308" t="s">
        <v>914</v>
      </c>
      <c r="I308" t="s">
        <v>217</v>
      </c>
      <c r="J308" t="s">
        <v>227</v>
      </c>
      <c r="K308" t="s">
        <v>20</v>
      </c>
      <c r="L308" t="s">
        <v>915</v>
      </c>
      <c r="M308" s="3" t="str">
        <f>HYPERLINK("..\..\Imagery\ScannedPhotos\1983\CG83-007.jpg")</f>
        <v>..\..\Imagery\ScannedPhotos\1983\CG83-007.jpg</v>
      </c>
    </row>
    <row r="309" spans="1:13" x14ac:dyDescent="0.25">
      <c r="A309" t="s">
        <v>916</v>
      </c>
      <c r="B309">
        <v>367944</v>
      </c>
      <c r="C309">
        <v>6014834</v>
      </c>
      <c r="D309">
        <v>21</v>
      </c>
      <c r="E309" t="s">
        <v>15</v>
      </c>
      <c r="F309" t="s">
        <v>917</v>
      </c>
      <c r="G309">
        <v>1</v>
      </c>
      <c r="H309" t="s">
        <v>226</v>
      </c>
      <c r="I309" t="s">
        <v>222</v>
      </c>
      <c r="J309" t="s">
        <v>227</v>
      </c>
      <c r="K309" t="s">
        <v>20</v>
      </c>
      <c r="L309" t="s">
        <v>918</v>
      </c>
      <c r="M309" s="3" t="str">
        <f>HYPERLINK("..\..\Imagery\ScannedPhotos\1983\CG83-070.jpg")</f>
        <v>..\..\Imagery\ScannedPhotos\1983\CG83-070.jpg</v>
      </c>
    </row>
    <row r="310" spans="1:13" x14ac:dyDescent="0.25">
      <c r="A310" t="s">
        <v>919</v>
      </c>
      <c r="B310">
        <v>443989</v>
      </c>
      <c r="C310">
        <v>5763744</v>
      </c>
      <c r="D310">
        <v>21</v>
      </c>
      <c r="E310" t="s">
        <v>15</v>
      </c>
      <c r="F310" t="s">
        <v>920</v>
      </c>
      <c r="G310">
        <v>9</v>
      </c>
      <c r="H310" t="s">
        <v>746</v>
      </c>
      <c r="I310" t="s">
        <v>129</v>
      </c>
      <c r="J310" t="s">
        <v>747</v>
      </c>
      <c r="K310" t="s">
        <v>56</v>
      </c>
      <c r="L310" t="s">
        <v>921</v>
      </c>
      <c r="M310" s="3" t="str">
        <f>HYPERLINK("..\..\Imagery\ScannedPhotos\1992\CG92-163.9.jpg")</f>
        <v>..\..\Imagery\ScannedPhotos\1992\CG92-163.9.jpg</v>
      </c>
    </row>
    <row r="311" spans="1:13" x14ac:dyDescent="0.25">
      <c r="A311" t="s">
        <v>922</v>
      </c>
      <c r="B311">
        <v>503961</v>
      </c>
      <c r="C311">
        <v>5941547</v>
      </c>
      <c r="D311">
        <v>21</v>
      </c>
      <c r="E311" t="s">
        <v>15</v>
      </c>
      <c r="F311" t="s">
        <v>923</v>
      </c>
      <c r="G311">
        <v>7</v>
      </c>
      <c r="K311" t="s">
        <v>56</v>
      </c>
      <c r="L311" t="s">
        <v>924</v>
      </c>
      <c r="M311" s="3" t="str">
        <f>HYPERLINK("..\..\Imagery\ScannedPhotos\2004\CG04-245.3.jpg")</f>
        <v>..\..\Imagery\ScannedPhotos\2004\CG04-245.3.jpg</v>
      </c>
    </row>
    <row r="312" spans="1:13" x14ac:dyDescent="0.25">
      <c r="A312" t="s">
        <v>922</v>
      </c>
      <c r="B312">
        <v>503961</v>
      </c>
      <c r="C312">
        <v>5941547</v>
      </c>
      <c r="D312">
        <v>21</v>
      </c>
      <c r="E312" t="s">
        <v>15</v>
      </c>
      <c r="F312" t="s">
        <v>925</v>
      </c>
      <c r="G312">
        <v>7</v>
      </c>
      <c r="K312" t="s">
        <v>109</v>
      </c>
      <c r="L312" t="s">
        <v>926</v>
      </c>
      <c r="M312" s="3" t="str">
        <f>HYPERLINK("..\..\Imagery\ScannedPhotos\2004\CG04-245.4.jpg")</f>
        <v>..\..\Imagery\ScannedPhotos\2004\CG04-245.4.jpg</v>
      </c>
    </row>
    <row r="313" spans="1:13" x14ac:dyDescent="0.25">
      <c r="A313" t="s">
        <v>922</v>
      </c>
      <c r="B313">
        <v>503961</v>
      </c>
      <c r="C313">
        <v>5941547</v>
      </c>
      <c r="D313">
        <v>21</v>
      </c>
      <c r="E313" t="s">
        <v>15</v>
      </c>
      <c r="F313" t="s">
        <v>927</v>
      </c>
      <c r="G313">
        <v>7</v>
      </c>
      <c r="K313" t="s">
        <v>56</v>
      </c>
      <c r="L313" t="s">
        <v>928</v>
      </c>
      <c r="M313" s="3" t="str">
        <f>HYPERLINK("..\..\Imagery\ScannedPhotos\2004\CG04-245.5.jpg")</f>
        <v>..\..\Imagery\ScannedPhotos\2004\CG04-245.5.jpg</v>
      </c>
    </row>
    <row r="314" spans="1:13" x14ac:dyDescent="0.25">
      <c r="A314" t="s">
        <v>922</v>
      </c>
      <c r="B314">
        <v>503961</v>
      </c>
      <c r="C314">
        <v>5941547</v>
      </c>
      <c r="D314">
        <v>21</v>
      </c>
      <c r="E314" t="s">
        <v>15</v>
      </c>
      <c r="F314" t="s">
        <v>929</v>
      </c>
      <c r="G314">
        <v>7</v>
      </c>
      <c r="K314" t="s">
        <v>56</v>
      </c>
      <c r="L314" t="s">
        <v>928</v>
      </c>
      <c r="M314" s="3" t="str">
        <f>HYPERLINK("..\..\Imagery\ScannedPhotos\2004\CG04-245.6.jpg")</f>
        <v>..\..\Imagery\ScannedPhotos\2004\CG04-245.6.jpg</v>
      </c>
    </row>
    <row r="315" spans="1:13" x14ac:dyDescent="0.25">
      <c r="A315" t="s">
        <v>930</v>
      </c>
      <c r="B315">
        <v>505008</v>
      </c>
      <c r="C315">
        <v>5939808</v>
      </c>
      <c r="D315">
        <v>21</v>
      </c>
      <c r="E315" t="s">
        <v>15</v>
      </c>
      <c r="F315" t="s">
        <v>931</v>
      </c>
      <c r="G315">
        <v>1</v>
      </c>
      <c r="K315" t="s">
        <v>228</v>
      </c>
      <c r="L315" t="s">
        <v>932</v>
      </c>
      <c r="M315" s="3" t="str">
        <f>HYPERLINK("..\..\Imagery\ScannedPhotos\2004\CG04-251.jpg")</f>
        <v>..\..\Imagery\ScannedPhotos\2004\CG04-251.jpg</v>
      </c>
    </row>
    <row r="316" spans="1:13" x14ac:dyDescent="0.25">
      <c r="A316" t="s">
        <v>933</v>
      </c>
      <c r="B316">
        <v>501733</v>
      </c>
      <c r="C316">
        <v>5933812</v>
      </c>
      <c r="D316">
        <v>21</v>
      </c>
      <c r="E316" t="s">
        <v>15</v>
      </c>
      <c r="F316" t="s">
        <v>934</v>
      </c>
      <c r="G316">
        <v>5</v>
      </c>
      <c r="K316" t="s">
        <v>935</v>
      </c>
      <c r="L316" t="s">
        <v>936</v>
      </c>
      <c r="M316" s="3" t="str">
        <f>HYPERLINK("..\..\Imagery\ScannedPhotos\2004\CG04-258.1.jpg")</f>
        <v>..\..\Imagery\ScannedPhotos\2004\CG04-258.1.jpg</v>
      </c>
    </row>
    <row r="317" spans="1:13" x14ac:dyDescent="0.25">
      <c r="A317" t="s">
        <v>933</v>
      </c>
      <c r="B317">
        <v>501733</v>
      </c>
      <c r="C317">
        <v>5933812</v>
      </c>
      <c r="D317">
        <v>21</v>
      </c>
      <c r="E317" t="s">
        <v>15</v>
      </c>
      <c r="F317" t="s">
        <v>937</v>
      </c>
      <c r="G317">
        <v>5</v>
      </c>
      <c r="K317" t="s">
        <v>935</v>
      </c>
      <c r="L317" t="s">
        <v>938</v>
      </c>
      <c r="M317" s="3" t="str">
        <f>HYPERLINK("..\..\Imagery\ScannedPhotos\2004\CG04-258.2.jpg")</f>
        <v>..\..\Imagery\ScannedPhotos\2004\CG04-258.2.jpg</v>
      </c>
    </row>
    <row r="318" spans="1:13" x14ac:dyDescent="0.25">
      <c r="A318" t="s">
        <v>939</v>
      </c>
      <c r="B318">
        <v>437115</v>
      </c>
      <c r="C318">
        <v>6079038</v>
      </c>
      <c r="D318">
        <v>21</v>
      </c>
      <c r="E318" t="s">
        <v>15</v>
      </c>
      <c r="F318" t="s">
        <v>940</v>
      </c>
      <c r="G318">
        <v>1</v>
      </c>
      <c r="H318" t="s">
        <v>696</v>
      </c>
      <c r="I318" t="s">
        <v>209</v>
      </c>
      <c r="J318" t="s">
        <v>355</v>
      </c>
      <c r="K318" t="s">
        <v>20</v>
      </c>
      <c r="L318" t="s">
        <v>941</v>
      </c>
      <c r="M318" s="3" t="str">
        <f>HYPERLINK("..\..\Imagery\ScannedPhotos\1979\CG79-235.jpg")</f>
        <v>..\..\Imagery\ScannedPhotos\1979\CG79-235.jpg</v>
      </c>
    </row>
    <row r="319" spans="1:13" x14ac:dyDescent="0.25">
      <c r="A319" t="s">
        <v>942</v>
      </c>
      <c r="B319">
        <v>437205</v>
      </c>
      <c r="C319">
        <v>6078277</v>
      </c>
      <c r="D319">
        <v>21</v>
      </c>
      <c r="E319" t="s">
        <v>15</v>
      </c>
      <c r="F319" t="s">
        <v>943</v>
      </c>
      <c r="G319">
        <v>1</v>
      </c>
      <c r="H319" t="s">
        <v>696</v>
      </c>
      <c r="I319" t="s">
        <v>386</v>
      </c>
      <c r="J319" t="s">
        <v>355</v>
      </c>
      <c r="K319" t="s">
        <v>20</v>
      </c>
      <c r="L319" t="s">
        <v>944</v>
      </c>
      <c r="M319" s="3" t="str">
        <f>HYPERLINK("..\..\Imagery\ScannedPhotos\1979\CG79-236.jpg")</f>
        <v>..\..\Imagery\ScannedPhotos\1979\CG79-236.jpg</v>
      </c>
    </row>
    <row r="320" spans="1:13" x14ac:dyDescent="0.25">
      <c r="A320" t="s">
        <v>945</v>
      </c>
      <c r="B320">
        <v>563516</v>
      </c>
      <c r="C320">
        <v>5826157</v>
      </c>
      <c r="D320">
        <v>21</v>
      </c>
      <c r="E320" t="s">
        <v>15</v>
      </c>
      <c r="F320" t="s">
        <v>946</v>
      </c>
      <c r="G320">
        <v>6</v>
      </c>
      <c r="H320" t="s">
        <v>201</v>
      </c>
      <c r="I320" t="s">
        <v>25</v>
      </c>
      <c r="J320" t="s">
        <v>202</v>
      </c>
      <c r="K320" t="s">
        <v>20</v>
      </c>
      <c r="L320" t="s">
        <v>947</v>
      </c>
      <c r="M320" s="3" t="str">
        <f>HYPERLINK("..\..\Imagery\ScannedPhotos\1986\CG86-156.2.jpg")</f>
        <v>..\..\Imagery\ScannedPhotos\1986\CG86-156.2.jpg</v>
      </c>
    </row>
    <row r="321" spans="1:13" x14ac:dyDescent="0.25">
      <c r="A321" t="s">
        <v>948</v>
      </c>
      <c r="B321">
        <v>567552</v>
      </c>
      <c r="C321">
        <v>5827590</v>
      </c>
      <c r="D321">
        <v>21</v>
      </c>
      <c r="E321" t="s">
        <v>15</v>
      </c>
      <c r="F321" t="s">
        <v>949</v>
      </c>
      <c r="G321">
        <v>1</v>
      </c>
      <c r="H321" t="s">
        <v>201</v>
      </c>
      <c r="I321" t="s">
        <v>119</v>
      </c>
      <c r="J321" t="s">
        <v>202</v>
      </c>
      <c r="K321" t="s">
        <v>20</v>
      </c>
      <c r="L321" t="s">
        <v>950</v>
      </c>
      <c r="M321" s="3" t="str">
        <f>HYPERLINK("..\..\Imagery\ScannedPhotos\1986\CG86-167.jpg")</f>
        <v>..\..\Imagery\ScannedPhotos\1986\CG86-167.jpg</v>
      </c>
    </row>
    <row r="322" spans="1:13" x14ac:dyDescent="0.25">
      <c r="A322" t="s">
        <v>951</v>
      </c>
      <c r="B322">
        <v>478279</v>
      </c>
      <c r="C322">
        <v>5914743</v>
      </c>
      <c r="D322">
        <v>21</v>
      </c>
      <c r="E322" t="s">
        <v>15</v>
      </c>
      <c r="F322" t="s">
        <v>952</v>
      </c>
      <c r="G322">
        <v>1</v>
      </c>
      <c r="K322" t="s">
        <v>228</v>
      </c>
      <c r="L322" t="s">
        <v>953</v>
      </c>
      <c r="M322" s="3" t="str">
        <f>HYPERLINK("..\..\Imagery\ScannedPhotos\2004\CG04-198.jpg")</f>
        <v>..\..\Imagery\ScannedPhotos\2004\CG04-198.jpg</v>
      </c>
    </row>
    <row r="323" spans="1:13" x14ac:dyDescent="0.25">
      <c r="A323" t="s">
        <v>954</v>
      </c>
      <c r="B323">
        <v>474078</v>
      </c>
      <c r="C323">
        <v>5913292</v>
      </c>
      <c r="D323">
        <v>21</v>
      </c>
      <c r="E323" t="s">
        <v>15</v>
      </c>
      <c r="F323" t="s">
        <v>955</v>
      </c>
      <c r="G323">
        <v>1</v>
      </c>
      <c r="K323" t="s">
        <v>56</v>
      </c>
      <c r="L323" t="s">
        <v>956</v>
      </c>
      <c r="M323" s="3" t="str">
        <f>HYPERLINK("..\..\Imagery\ScannedPhotos\2004\CG04-200.jpg")</f>
        <v>..\..\Imagery\ScannedPhotos\2004\CG04-200.jpg</v>
      </c>
    </row>
    <row r="324" spans="1:13" x14ac:dyDescent="0.25">
      <c r="A324" t="s">
        <v>957</v>
      </c>
      <c r="B324">
        <v>472232</v>
      </c>
      <c r="C324">
        <v>5912899</v>
      </c>
      <c r="D324">
        <v>21</v>
      </c>
      <c r="E324" t="s">
        <v>15</v>
      </c>
      <c r="F324" t="s">
        <v>958</v>
      </c>
      <c r="G324">
        <v>1</v>
      </c>
      <c r="K324" t="s">
        <v>935</v>
      </c>
      <c r="L324" t="s">
        <v>959</v>
      </c>
      <c r="M324" s="3" t="str">
        <f>HYPERLINK("..\..\Imagery\ScannedPhotos\2004\CG04-202.jpg")</f>
        <v>..\..\Imagery\ScannedPhotos\2004\CG04-202.jpg</v>
      </c>
    </row>
    <row r="325" spans="1:13" x14ac:dyDescent="0.25">
      <c r="A325" t="s">
        <v>960</v>
      </c>
      <c r="B325">
        <v>471672</v>
      </c>
      <c r="C325">
        <v>5912824</v>
      </c>
      <c r="D325">
        <v>21</v>
      </c>
      <c r="E325" t="s">
        <v>15</v>
      </c>
      <c r="F325" t="s">
        <v>961</v>
      </c>
      <c r="G325">
        <v>1</v>
      </c>
      <c r="K325" t="s">
        <v>56</v>
      </c>
      <c r="L325" t="s">
        <v>962</v>
      </c>
      <c r="M325" s="3" t="str">
        <f>HYPERLINK("..\..\Imagery\ScannedPhotos\2004\CG04-203.jpg")</f>
        <v>..\..\Imagery\ScannedPhotos\2004\CG04-203.jpg</v>
      </c>
    </row>
    <row r="326" spans="1:13" x14ac:dyDescent="0.25">
      <c r="A326" t="s">
        <v>963</v>
      </c>
      <c r="B326">
        <v>471427</v>
      </c>
      <c r="C326">
        <v>5912693</v>
      </c>
      <c r="D326">
        <v>21</v>
      </c>
      <c r="E326" t="s">
        <v>15</v>
      </c>
      <c r="F326" t="s">
        <v>964</v>
      </c>
      <c r="G326">
        <v>5</v>
      </c>
      <c r="K326" t="s">
        <v>56</v>
      </c>
      <c r="L326" t="s">
        <v>965</v>
      </c>
      <c r="M326" s="3" t="str">
        <f>HYPERLINK("..\..\Imagery\ScannedPhotos\2004\CG04-204.1.jpg")</f>
        <v>..\..\Imagery\ScannedPhotos\2004\CG04-204.1.jpg</v>
      </c>
    </row>
    <row r="327" spans="1:13" x14ac:dyDescent="0.25">
      <c r="A327" t="s">
        <v>966</v>
      </c>
      <c r="B327">
        <v>496686</v>
      </c>
      <c r="C327">
        <v>5869509</v>
      </c>
      <c r="D327">
        <v>21</v>
      </c>
      <c r="E327" t="s">
        <v>15</v>
      </c>
      <c r="F327" t="s">
        <v>967</v>
      </c>
      <c r="G327">
        <v>5</v>
      </c>
      <c r="H327" t="s">
        <v>968</v>
      </c>
      <c r="I327" t="s">
        <v>386</v>
      </c>
      <c r="J327" t="s">
        <v>42</v>
      </c>
      <c r="K327" t="s">
        <v>56</v>
      </c>
      <c r="L327" t="s">
        <v>969</v>
      </c>
      <c r="M327" s="3" t="str">
        <f>HYPERLINK("..\..\Imagery\ScannedPhotos\1991\VN91-005.1.jpg")</f>
        <v>..\..\Imagery\ScannedPhotos\1991\VN91-005.1.jpg</v>
      </c>
    </row>
    <row r="328" spans="1:13" x14ac:dyDescent="0.25">
      <c r="A328" t="s">
        <v>970</v>
      </c>
      <c r="B328">
        <v>442431</v>
      </c>
      <c r="C328">
        <v>5995299</v>
      </c>
      <c r="D328">
        <v>21</v>
      </c>
      <c r="E328" t="s">
        <v>15</v>
      </c>
      <c r="F328" t="s">
        <v>971</v>
      </c>
      <c r="G328">
        <v>13</v>
      </c>
      <c r="H328" t="s">
        <v>972</v>
      </c>
      <c r="I328" t="s">
        <v>79</v>
      </c>
      <c r="J328" t="s">
        <v>807</v>
      </c>
      <c r="K328" t="s">
        <v>20</v>
      </c>
      <c r="L328" t="s">
        <v>973</v>
      </c>
      <c r="M328" s="3" t="str">
        <f>HYPERLINK("..\..\Imagery\ScannedPhotos\1980\RG80-133.2.jpg")</f>
        <v>..\..\Imagery\ScannedPhotos\1980\RG80-133.2.jpg</v>
      </c>
    </row>
    <row r="329" spans="1:13" x14ac:dyDescent="0.25">
      <c r="A329" t="s">
        <v>970</v>
      </c>
      <c r="B329">
        <v>442431</v>
      </c>
      <c r="C329">
        <v>5995299</v>
      </c>
      <c r="D329">
        <v>21</v>
      </c>
      <c r="E329" t="s">
        <v>15</v>
      </c>
      <c r="F329" t="s">
        <v>974</v>
      </c>
      <c r="G329">
        <v>13</v>
      </c>
      <c r="H329" t="s">
        <v>972</v>
      </c>
      <c r="I329" t="s">
        <v>41</v>
      </c>
      <c r="J329" t="s">
        <v>807</v>
      </c>
      <c r="K329" t="s">
        <v>20</v>
      </c>
      <c r="L329" t="s">
        <v>973</v>
      </c>
      <c r="M329" s="3" t="str">
        <f>HYPERLINK("..\..\Imagery\ScannedPhotos\1980\RG80-133.8.jpg")</f>
        <v>..\..\Imagery\ScannedPhotos\1980\RG80-133.8.jpg</v>
      </c>
    </row>
    <row r="330" spans="1:13" x14ac:dyDescent="0.25">
      <c r="A330" t="s">
        <v>975</v>
      </c>
      <c r="B330">
        <v>426427</v>
      </c>
      <c r="C330">
        <v>6004874</v>
      </c>
      <c r="D330">
        <v>21</v>
      </c>
      <c r="E330" t="s">
        <v>15</v>
      </c>
      <c r="F330" t="s">
        <v>976</v>
      </c>
      <c r="G330">
        <v>1</v>
      </c>
      <c r="H330" t="s">
        <v>977</v>
      </c>
      <c r="I330" t="s">
        <v>195</v>
      </c>
      <c r="J330" t="s">
        <v>978</v>
      </c>
      <c r="K330" t="s">
        <v>20</v>
      </c>
      <c r="L330" t="s">
        <v>979</v>
      </c>
      <c r="M330" s="3" t="str">
        <f>HYPERLINK("..\..\Imagery\ScannedPhotos\1980\RG80-303.jpg")</f>
        <v>..\..\Imagery\ScannedPhotos\1980\RG80-303.jpg</v>
      </c>
    </row>
    <row r="331" spans="1:13" x14ac:dyDescent="0.25">
      <c r="A331" t="s">
        <v>980</v>
      </c>
      <c r="B331">
        <v>426184</v>
      </c>
      <c r="C331">
        <v>6002570</v>
      </c>
      <c r="D331">
        <v>21</v>
      </c>
      <c r="E331" t="s">
        <v>15</v>
      </c>
      <c r="F331" t="s">
        <v>981</v>
      </c>
      <c r="G331">
        <v>1</v>
      </c>
      <c r="H331" t="s">
        <v>977</v>
      </c>
      <c r="I331" t="s">
        <v>114</v>
      </c>
      <c r="J331" t="s">
        <v>978</v>
      </c>
      <c r="K331" t="s">
        <v>20</v>
      </c>
      <c r="L331" t="s">
        <v>982</v>
      </c>
      <c r="M331" s="3" t="str">
        <f>HYPERLINK("..\..\Imagery\ScannedPhotos\1980\RG80-307.jpg")</f>
        <v>..\..\Imagery\ScannedPhotos\1980\RG80-307.jpg</v>
      </c>
    </row>
    <row r="332" spans="1:13" x14ac:dyDescent="0.25">
      <c r="A332" t="s">
        <v>523</v>
      </c>
      <c r="B332">
        <v>575599</v>
      </c>
      <c r="C332">
        <v>5756653</v>
      </c>
      <c r="D332">
        <v>21</v>
      </c>
      <c r="E332" t="s">
        <v>15</v>
      </c>
      <c r="F332" t="s">
        <v>983</v>
      </c>
      <c r="G332">
        <v>16</v>
      </c>
      <c r="H332" t="s">
        <v>984</v>
      </c>
      <c r="I332" t="s">
        <v>41</v>
      </c>
      <c r="J332" t="s">
        <v>985</v>
      </c>
      <c r="K332" t="s">
        <v>20</v>
      </c>
      <c r="L332" t="s">
        <v>986</v>
      </c>
      <c r="M332" s="3" t="str">
        <f>HYPERLINK("..\..\Imagery\ScannedPhotos\1993\VN93-662.10.jpg")</f>
        <v>..\..\Imagery\ScannedPhotos\1993\VN93-662.10.jpg</v>
      </c>
    </row>
    <row r="333" spans="1:13" x14ac:dyDescent="0.25">
      <c r="A333" t="s">
        <v>987</v>
      </c>
      <c r="B333">
        <v>403571</v>
      </c>
      <c r="C333">
        <v>5921965</v>
      </c>
      <c r="D333">
        <v>21</v>
      </c>
      <c r="E333" t="s">
        <v>15</v>
      </c>
      <c r="F333" t="s">
        <v>988</v>
      </c>
      <c r="G333">
        <v>2</v>
      </c>
      <c r="H333" t="s">
        <v>562</v>
      </c>
      <c r="I333" t="s">
        <v>386</v>
      </c>
      <c r="J333" t="s">
        <v>563</v>
      </c>
      <c r="K333" t="s">
        <v>20</v>
      </c>
      <c r="L333" t="s">
        <v>989</v>
      </c>
      <c r="M333" s="3" t="str">
        <f>HYPERLINK("..\..\Imagery\ScannedPhotos\1995\VN95-103.2.jpg")</f>
        <v>..\..\Imagery\ScannedPhotos\1995\VN95-103.2.jpg</v>
      </c>
    </row>
    <row r="334" spans="1:13" x14ac:dyDescent="0.25">
      <c r="A334" t="s">
        <v>990</v>
      </c>
      <c r="B334">
        <v>386993</v>
      </c>
      <c r="C334">
        <v>5927128</v>
      </c>
      <c r="D334">
        <v>21</v>
      </c>
      <c r="E334" t="s">
        <v>15</v>
      </c>
      <c r="F334" t="s">
        <v>991</v>
      </c>
      <c r="G334">
        <v>2</v>
      </c>
      <c r="H334" t="s">
        <v>562</v>
      </c>
      <c r="I334" t="s">
        <v>217</v>
      </c>
      <c r="J334" t="s">
        <v>563</v>
      </c>
      <c r="K334" t="s">
        <v>56</v>
      </c>
      <c r="L334" t="s">
        <v>992</v>
      </c>
      <c r="M334" s="3" t="str">
        <f>HYPERLINK("..\..\Imagery\ScannedPhotos\1995\VN95-109.1.jpg")</f>
        <v>..\..\Imagery\ScannedPhotos\1995\VN95-109.1.jpg</v>
      </c>
    </row>
    <row r="335" spans="1:13" x14ac:dyDescent="0.25">
      <c r="A335" t="s">
        <v>993</v>
      </c>
      <c r="B335">
        <v>525211</v>
      </c>
      <c r="C335">
        <v>5743163</v>
      </c>
      <c r="D335">
        <v>21</v>
      </c>
      <c r="E335" t="s">
        <v>15</v>
      </c>
      <c r="F335" t="s">
        <v>994</v>
      </c>
      <c r="G335">
        <v>7</v>
      </c>
      <c r="H335" t="s">
        <v>995</v>
      </c>
      <c r="I335" t="s">
        <v>129</v>
      </c>
      <c r="J335" t="s">
        <v>996</v>
      </c>
      <c r="K335" t="s">
        <v>56</v>
      </c>
      <c r="L335" t="s">
        <v>997</v>
      </c>
      <c r="M335" s="3" t="str">
        <f>HYPERLINK("..\..\Imagery\ScannedPhotos\1993\CG93-698.3.jpg")</f>
        <v>..\..\Imagery\ScannedPhotos\1993\CG93-698.3.jpg</v>
      </c>
    </row>
    <row r="336" spans="1:13" x14ac:dyDescent="0.25">
      <c r="A336" t="s">
        <v>993</v>
      </c>
      <c r="B336">
        <v>525211</v>
      </c>
      <c r="C336">
        <v>5743163</v>
      </c>
      <c r="D336">
        <v>21</v>
      </c>
      <c r="E336" t="s">
        <v>15</v>
      </c>
      <c r="F336" t="s">
        <v>998</v>
      </c>
      <c r="G336">
        <v>7</v>
      </c>
      <c r="H336" t="s">
        <v>995</v>
      </c>
      <c r="I336" t="s">
        <v>132</v>
      </c>
      <c r="J336" t="s">
        <v>996</v>
      </c>
      <c r="K336" t="s">
        <v>56</v>
      </c>
      <c r="L336" t="s">
        <v>997</v>
      </c>
      <c r="M336" s="3" t="str">
        <f>HYPERLINK("..\..\Imagery\ScannedPhotos\1993\CG93-698.2.jpg")</f>
        <v>..\..\Imagery\ScannedPhotos\1993\CG93-698.2.jpg</v>
      </c>
    </row>
    <row r="337" spans="1:13" x14ac:dyDescent="0.25">
      <c r="A337" t="s">
        <v>993</v>
      </c>
      <c r="B337">
        <v>525211</v>
      </c>
      <c r="C337">
        <v>5743163</v>
      </c>
      <c r="D337">
        <v>21</v>
      </c>
      <c r="E337" t="s">
        <v>15</v>
      </c>
      <c r="F337" t="s">
        <v>999</v>
      </c>
      <c r="G337">
        <v>7</v>
      </c>
      <c r="H337" t="s">
        <v>995</v>
      </c>
      <c r="I337" t="s">
        <v>47</v>
      </c>
      <c r="J337" t="s">
        <v>996</v>
      </c>
      <c r="K337" t="s">
        <v>56</v>
      </c>
      <c r="L337" t="s">
        <v>1000</v>
      </c>
      <c r="M337" s="3" t="str">
        <f>HYPERLINK("..\..\Imagery\ScannedPhotos\1993\CG93-698.6.jpg")</f>
        <v>..\..\Imagery\ScannedPhotos\1993\CG93-698.6.jpg</v>
      </c>
    </row>
    <row r="338" spans="1:13" x14ac:dyDescent="0.25">
      <c r="A338" t="s">
        <v>1001</v>
      </c>
      <c r="B338">
        <v>557129</v>
      </c>
      <c r="C338">
        <v>5759535</v>
      </c>
      <c r="D338">
        <v>21</v>
      </c>
      <c r="E338" t="s">
        <v>15</v>
      </c>
      <c r="F338" t="s">
        <v>1002</v>
      </c>
      <c r="G338">
        <v>2</v>
      </c>
      <c r="H338" t="s">
        <v>995</v>
      </c>
      <c r="I338" t="s">
        <v>74</v>
      </c>
      <c r="J338" t="s">
        <v>996</v>
      </c>
      <c r="K338" t="s">
        <v>56</v>
      </c>
      <c r="L338" t="s">
        <v>1003</v>
      </c>
      <c r="M338" s="3" t="str">
        <f>HYPERLINK("..\..\Imagery\ScannedPhotos\1993\CG93-722.2.jpg")</f>
        <v>..\..\Imagery\ScannedPhotos\1993\CG93-722.2.jpg</v>
      </c>
    </row>
    <row r="339" spans="1:13" x14ac:dyDescent="0.25">
      <c r="A339" t="s">
        <v>1004</v>
      </c>
      <c r="B339">
        <v>430801</v>
      </c>
      <c r="C339">
        <v>6010018</v>
      </c>
      <c r="D339">
        <v>21</v>
      </c>
      <c r="E339" t="s">
        <v>15</v>
      </c>
      <c r="F339" t="s">
        <v>1005</v>
      </c>
      <c r="G339">
        <v>5</v>
      </c>
      <c r="H339" t="s">
        <v>1006</v>
      </c>
      <c r="I339" t="s">
        <v>209</v>
      </c>
      <c r="J339" t="s">
        <v>652</v>
      </c>
      <c r="K339" t="s">
        <v>20</v>
      </c>
      <c r="L339" t="s">
        <v>1007</v>
      </c>
      <c r="M339" s="3" t="str">
        <f>HYPERLINK("..\..\Imagery\ScannedPhotos\1980\CG80-054.2.jpg")</f>
        <v>..\..\Imagery\ScannedPhotos\1980\CG80-054.2.jpg</v>
      </c>
    </row>
    <row r="340" spans="1:13" x14ac:dyDescent="0.25">
      <c r="A340" t="s">
        <v>1008</v>
      </c>
      <c r="B340">
        <v>480901</v>
      </c>
      <c r="C340">
        <v>5931165</v>
      </c>
      <c r="D340">
        <v>21</v>
      </c>
      <c r="E340" t="s">
        <v>15</v>
      </c>
      <c r="F340" t="s">
        <v>1009</v>
      </c>
      <c r="G340">
        <v>2</v>
      </c>
      <c r="H340" t="s">
        <v>107</v>
      </c>
      <c r="I340" t="s">
        <v>129</v>
      </c>
      <c r="J340" t="s">
        <v>48</v>
      </c>
      <c r="K340" t="s">
        <v>20</v>
      </c>
      <c r="L340" t="s">
        <v>1010</v>
      </c>
      <c r="M340" s="3" t="str">
        <f>HYPERLINK("..\..\Imagery\ScannedPhotos\1981\CG81-215.1.jpg")</f>
        <v>..\..\Imagery\ScannedPhotos\1981\CG81-215.1.jpg</v>
      </c>
    </row>
    <row r="341" spans="1:13" x14ac:dyDescent="0.25">
      <c r="A341" t="s">
        <v>1011</v>
      </c>
      <c r="B341">
        <v>577794</v>
      </c>
      <c r="C341">
        <v>5874918</v>
      </c>
      <c r="D341">
        <v>21</v>
      </c>
      <c r="E341" t="s">
        <v>15</v>
      </c>
      <c r="F341" t="s">
        <v>1012</v>
      </c>
      <c r="G341">
        <v>1</v>
      </c>
      <c r="H341" t="s">
        <v>1013</v>
      </c>
      <c r="I341" t="s">
        <v>74</v>
      </c>
      <c r="J341" t="s">
        <v>1014</v>
      </c>
      <c r="K341" t="s">
        <v>109</v>
      </c>
      <c r="L341" t="s">
        <v>1015</v>
      </c>
      <c r="M341" s="3" t="str">
        <f>HYPERLINK("..\..\Imagery\ScannedPhotos\1985\CG85-454.2.jpg")</f>
        <v>..\..\Imagery\ScannedPhotos\1985\CG85-454.2.jpg</v>
      </c>
    </row>
    <row r="342" spans="1:13" x14ac:dyDescent="0.25">
      <c r="A342" t="s">
        <v>1011</v>
      </c>
      <c r="B342">
        <v>577794</v>
      </c>
      <c r="C342">
        <v>5874918</v>
      </c>
      <c r="D342">
        <v>21</v>
      </c>
      <c r="E342" t="s">
        <v>15</v>
      </c>
      <c r="F342" t="s">
        <v>1016</v>
      </c>
      <c r="G342">
        <v>1</v>
      </c>
      <c r="H342" t="s">
        <v>1013</v>
      </c>
      <c r="I342" t="s">
        <v>69</v>
      </c>
      <c r="J342" t="s">
        <v>1014</v>
      </c>
      <c r="K342" t="s">
        <v>20</v>
      </c>
      <c r="L342" t="s">
        <v>1017</v>
      </c>
      <c r="M342" s="3" t="str">
        <f>HYPERLINK("..\..\Imagery\ScannedPhotos\1985\CG85-454.1.jpg")</f>
        <v>..\..\Imagery\ScannedPhotos\1985\CG85-454.1.jpg</v>
      </c>
    </row>
    <row r="343" spans="1:13" x14ac:dyDescent="0.25">
      <c r="A343" t="s">
        <v>1018</v>
      </c>
      <c r="B343">
        <v>579228</v>
      </c>
      <c r="C343">
        <v>5875075</v>
      </c>
      <c r="D343">
        <v>21</v>
      </c>
      <c r="E343" t="s">
        <v>15</v>
      </c>
      <c r="F343" t="s">
        <v>1019</v>
      </c>
      <c r="G343">
        <v>1</v>
      </c>
      <c r="H343" t="s">
        <v>1013</v>
      </c>
      <c r="I343" t="s">
        <v>375</v>
      </c>
      <c r="J343" t="s">
        <v>1014</v>
      </c>
      <c r="K343" t="s">
        <v>20</v>
      </c>
      <c r="L343" t="s">
        <v>1020</v>
      </c>
      <c r="M343" s="3" t="str">
        <f>HYPERLINK("..\..\Imagery\ScannedPhotos\1985\CG85-458.jpg")</f>
        <v>..\..\Imagery\ScannedPhotos\1985\CG85-458.jpg</v>
      </c>
    </row>
    <row r="344" spans="1:13" x14ac:dyDescent="0.25">
      <c r="A344" t="s">
        <v>1021</v>
      </c>
      <c r="B344">
        <v>580338</v>
      </c>
      <c r="C344">
        <v>5875743</v>
      </c>
      <c r="D344">
        <v>21</v>
      </c>
      <c r="E344" t="s">
        <v>15</v>
      </c>
      <c r="F344" t="s">
        <v>1022</v>
      </c>
      <c r="G344">
        <v>2</v>
      </c>
      <c r="H344" t="s">
        <v>1013</v>
      </c>
      <c r="I344" t="s">
        <v>386</v>
      </c>
      <c r="J344" t="s">
        <v>1014</v>
      </c>
      <c r="K344" t="s">
        <v>20</v>
      </c>
      <c r="L344" t="s">
        <v>1023</v>
      </c>
      <c r="M344" s="3" t="str">
        <f>HYPERLINK("..\..\Imagery\ScannedPhotos\1985\CG85-461.1.jpg")</f>
        <v>..\..\Imagery\ScannedPhotos\1985\CG85-461.1.jpg</v>
      </c>
    </row>
    <row r="345" spans="1:13" x14ac:dyDescent="0.25">
      <c r="A345" t="s">
        <v>1021</v>
      </c>
      <c r="B345">
        <v>580338</v>
      </c>
      <c r="C345">
        <v>5875743</v>
      </c>
      <c r="D345">
        <v>21</v>
      </c>
      <c r="E345" t="s">
        <v>15</v>
      </c>
      <c r="F345" t="s">
        <v>1024</v>
      </c>
      <c r="G345">
        <v>2</v>
      </c>
      <c r="H345" t="s">
        <v>1013</v>
      </c>
      <c r="I345" t="s">
        <v>217</v>
      </c>
      <c r="J345" t="s">
        <v>1014</v>
      </c>
      <c r="K345" t="s">
        <v>20</v>
      </c>
      <c r="L345" t="s">
        <v>1025</v>
      </c>
      <c r="M345" s="3" t="str">
        <f>HYPERLINK("..\..\Imagery\ScannedPhotos\1985\CG85-461.2.jpg")</f>
        <v>..\..\Imagery\ScannedPhotos\1985\CG85-461.2.jpg</v>
      </c>
    </row>
    <row r="346" spans="1:13" x14ac:dyDescent="0.25">
      <c r="A346" t="s">
        <v>1026</v>
      </c>
      <c r="B346">
        <v>580415</v>
      </c>
      <c r="C346">
        <v>5876054</v>
      </c>
      <c r="D346">
        <v>21</v>
      </c>
      <c r="E346" t="s">
        <v>15</v>
      </c>
      <c r="F346" t="s">
        <v>1027</v>
      </c>
      <c r="G346">
        <v>1</v>
      </c>
      <c r="H346" t="s">
        <v>1013</v>
      </c>
      <c r="I346" t="s">
        <v>214</v>
      </c>
      <c r="J346" t="s">
        <v>1014</v>
      </c>
      <c r="K346" t="s">
        <v>20</v>
      </c>
      <c r="L346" t="s">
        <v>1028</v>
      </c>
      <c r="M346" s="3" t="str">
        <f>HYPERLINK("..\..\Imagery\ScannedPhotos\1985\CG85-462.jpg")</f>
        <v>..\..\Imagery\ScannedPhotos\1985\CG85-462.jpg</v>
      </c>
    </row>
    <row r="347" spans="1:13" x14ac:dyDescent="0.25">
      <c r="A347" t="s">
        <v>1029</v>
      </c>
      <c r="B347">
        <v>580276</v>
      </c>
      <c r="C347">
        <v>5876268</v>
      </c>
      <c r="D347">
        <v>21</v>
      </c>
      <c r="E347" t="s">
        <v>15</v>
      </c>
      <c r="F347" t="s">
        <v>1030</v>
      </c>
      <c r="G347">
        <v>1</v>
      </c>
      <c r="H347" t="s">
        <v>1013</v>
      </c>
      <c r="I347" t="s">
        <v>418</v>
      </c>
      <c r="J347" t="s">
        <v>1014</v>
      </c>
      <c r="K347" t="s">
        <v>20</v>
      </c>
      <c r="L347" t="s">
        <v>1031</v>
      </c>
      <c r="M347" s="3" t="str">
        <f>HYPERLINK("..\..\Imagery\ScannedPhotos\1985\CG85-463.jpg")</f>
        <v>..\..\Imagery\ScannedPhotos\1985\CG85-463.jpg</v>
      </c>
    </row>
    <row r="348" spans="1:13" x14ac:dyDescent="0.25">
      <c r="A348" t="s">
        <v>1032</v>
      </c>
      <c r="B348">
        <v>579955</v>
      </c>
      <c r="C348">
        <v>5876736</v>
      </c>
      <c r="D348">
        <v>21</v>
      </c>
      <c r="E348" t="s">
        <v>15</v>
      </c>
      <c r="F348" t="s">
        <v>1033</v>
      </c>
      <c r="G348">
        <v>1</v>
      </c>
      <c r="H348" t="s">
        <v>1013</v>
      </c>
      <c r="I348" t="s">
        <v>647</v>
      </c>
      <c r="J348" t="s">
        <v>1014</v>
      </c>
      <c r="K348" t="s">
        <v>109</v>
      </c>
      <c r="L348" t="s">
        <v>1034</v>
      </c>
      <c r="M348" s="3" t="str">
        <f>HYPERLINK("..\..\Imagery\ScannedPhotos\1985\CG85-465.4.jpg")</f>
        <v>..\..\Imagery\ScannedPhotos\1985\CG85-465.4.jpg</v>
      </c>
    </row>
    <row r="349" spans="1:13" x14ac:dyDescent="0.25">
      <c r="A349" t="s">
        <v>1035</v>
      </c>
      <c r="B349">
        <v>454875</v>
      </c>
      <c r="C349">
        <v>5856990</v>
      </c>
      <c r="D349">
        <v>21</v>
      </c>
      <c r="E349" t="s">
        <v>15</v>
      </c>
      <c r="F349" t="s">
        <v>1036</v>
      </c>
      <c r="G349">
        <v>1</v>
      </c>
      <c r="H349" t="s">
        <v>1037</v>
      </c>
      <c r="I349" t="s">
        <v>85</v>
      </c>
      <c r="J349" t="s">
        <v>1038</v>
      </c>
      <c r="K349" t="s">
        <v>20</v>
      </c>
      <c r="L349" t="s">
        <v>322</v>
      </c>
      <c r="M349" s="3" t="str">
        <f>HYPERLINK("..\..\Imagery\ScannedPhotos\1991\VN91-434.jpg")</f>
        <v>..\..\Imagery\ScannedPhotos\1991\VN91-434.jpg</v>
      </c>
    </row>
    <row r="350" spans="1:13" x14ac:dyDescent="0.25">
      <c r="A350" t="s">
        <v>1039</v>
      </c>
      <c r="B350">
        <v>497507</v>
      </c>
      <c r="C350">
        <v>5819366</v>
      </c>
      <c r="D350">
        <v>21</v>
      </c>
      <c r="E350" t="s">
        <v>15</v>
      </c>
      <c r="F350" t="s">
        <v>1040</v>
      </c>
      <c r="G350">
        <v>8</v>
      </c>
      <c r="H350" t="s">
        <v>968</v>
      </c>
      <c r="I350" t="s">
        <v>108</v>
      </c>
      <c r="J350" t="s">
        <v>42</v>
      </c>
      <c r="K350" t="s">
        <v>20</v>
      </c>
      <c r="L350" t="s">
        <v>1041</v>
      </c>
      <c r="M350" s="3" t="str">
        <f>HYPERLINK("..\..\Imagery\ScannedPhotos\1991\VN91-020.2.jpg")</f>
        <v>..\..\Imagery\ScannedPhotos\1991\VN91-020.2.jpg</v>
      </c>
    </row>
    <row r="351" spans="1:13" x14ac:dyDescent="0.25">
      <c r="A351" t="s">
        <v>1042</v>
      </c>
      <c r="B351">
        <v>460430</v>
      </c>
      <c r="C351">
        <v>5818000</v>
      </c>
      <c r="D351">
        <v>21</v>
      </c>
      <c r="E351" t="s">
        <v>15</v>
      </c>
      <c r="F351" t="s">
        <v>1043</v>
      </c>
      <c r="G351">
        <v>1</v>
      </c>
      <c r="H351" t="s">
        <v>1044</v>
      </c>
      <c r="I351" t="s">
        <v>18</v>
      </c>
      <c r="J351" t="s">
        <v>42</v>
      </c>
      <c r="K351" t="s">
        <v>20</v>
      </c>
      <c r="L351" t="s">
        <v>1045</v>
      </c>
      <c r="M351" s="3" t="str">
        <f>HYPERLINK("..\..\Imagery\ScannedPhotos\1991\VN91-026.jpg")</f>
        <v>..\..\Imagery\ScannedPhotos\1991\VN91-026.jpg</v>
      </c>
    </row>
    <row r="352" spans="1:13" x14ac:dyDescent="0.25">
      <c r="A352" t="s">
        <v>1046</v>
      </c>
      <c r="B352">
        <v>471915</v>
      </c>
      <c r="C352">
        <v>5860622</v>
      </c>
      <c r="D352">
        <v>21</v>
      </c>
      <c r="E352" t="s">
        <v>15</v>
      </c>
      <c r="F352" t="s">
        <v>1047</v>
      </c>
      <c r="G352">
        <v>2</v>
      </c>
      <c r="H352" t="s">
        <v>1048</v>
      </c>
      <c r="I352" t="s">
        <v>79</v>
      </c>
      <c r="J352" t="s">
        <v>1038</v>
      </c>
      <c r="K352" t="s">
        <v>56</v>
      </c>
      <c r="L352" t="s">
        <v>772</v>
      </c>
      <c r="M352" s="3" t="str">
        <f>HYPERLINK("..\..\Imagery\ScannedPhotos\1991\DD91-108.2.jpg")</f>
        <v>..\..\Imagery\ScannedPhotos\1991\DD91-108.2.jpg</v>
      </c>
    </row>
    <row r="353" spans="1:13" x14ac:dyDescent="0.25">
      <c r="A353" t="s">
        <v>1049</v>
      </c>
      <c r="B353">
        <v>585436</v>
      </c>
      <c r="C353">
        <v>5789250</v>
      </c>
      <c r="D353">
        <v>21</v>
      </c>
      <c r="E353" t="s">
        <v>15</v>
      </c>
      <c r="F353" t="s">
        <v>1050</v>
      </c>
      <c r="G353">
        <v>1</v>
      </c>
      <c r="H353" t="s">
        <v>1051</v>
      </c>
      <c r="I353" t="s">
        <v>74</v>
      </c>
      <c r="J353" t="s">
        <v>1052</v>
      </c>
      <c r="K353" t="s">
        <v>20</v>
      </c>
      <c r="L353" t="s">
        <v>1053</v>
      </c>
      <c r="M353" s="3" t="str">
        <f>HYPERLINK("..\..\Imagery\ScannedPhotos\1987\VN87-452.jpg")</f>
        <v>..\..\Imagery\ScannedPhotos\1987\VN87-452.jpg</v>
      </c>
    </row>
    <row r="354" spans="1:13" x14ac:dyDescent="0.25">
      <c r="A354" t="s">
        <v>1054</v>
      </c>
      <c r="B354">
        <v>591545</v>
      </c>
      <c r="C354">
        <v>5800885</v>
      </c>
      <c r="D354">
        <v>21</v>
      </c>
      <c r="E354" t="s">
        <v>15</v>
      </c>
      <c r="F354" t="s">
        <v>1055</v>
      </c>
      <c r="G354">
        <v>2</v>
      </c>
      <c r="H354" t="s">
        <v>1051</v>
      </c>
      <c r="I354" t="s">
        <v>41</v>
      </c>
      <c r="J354" t="s">
        <v>1052</v>
      </c>
      <c r="K354" t="s">
        <v>20</v>
      </c>
      <c r="L354" t="s">
        <v>1056</v>
      </c>
      <c r="M354" s="3" t="str">
        <f>HYPERLINK("..\..\Imagery\ScannedPhotos\1987\VN87-454.1.jpg")</f>
        <v>..\..\Imagery\ScannedPhotos\1987\VN87-454.1.jpg</v>
      </c>
    </row>
    <row r="355" spans="1:13" x14ac:dyDescent="0.25">
      <c r="A355" t="s">
        <v>1054</v>
      </c>
      <c r="B355">
        <v>591545</v>
      </c>
      <c r="C355">
        <v>5800885</v>
      </c>
      <c r="D355">
        <v>21</v>
      </c>
      <c r="E355" t="s">
        <v>15</v>
      </c>
      <c r="F355" t="s">
        <v>1057</v>
      </c>
      <c r="G355">
        <v>2</v>
      </c>
      <c r="H355" t="s">
        <v>1051</v>
      </c>
      <c r="I355" t="s">
        <v>85</v>
      </c>
      <c r="J355" t="s">
        <v>1052</v>
      </c>
      <c r="K355" t="s">
        <v>20</v>
      </c>
      <c r="L355" t="s">
        <v>1058</v>
      </c>
      <c r="M355" s="3" t="str">
        <f>HYPERLINK("..\..\Imagery\ScannedPhotos\1987\VN87-454.2.jpg")</f>
        <v>..\..\Imagery\ScannedPhotos\1987\VN87-454.2.jpg</v>
      </c>
    </row>
    <row r="356" spans="1:13" x14ac:dyDescent="0.25">
      <c r="A356" t="s">
        <v>1059</v>
      </c>
      <c r="B356">
        <v>530460</v>
      </c>
      <c r="C356">
        <v>5731700</v>
      </c>
      <c r="D356">
        <v>21</v>
      </c>
      <c r="E356" t="s">
        <v>15</v>
      </c>
      <c r="F356" t="s">
        <v>1060</v>
      </c>
      <c r="G356">
        <v>1</v>
      </c>
      <c r="H356" t="s">
        <v>1061</v>
      </c>
      <c r="I356" t="s">
        <v>375</v>
      </c>
      <c r="J356" t="s">
        <v>1062</v>
      </c>
      <c r="K356" t="s">
        <v>56</v>
      </c>
      <c r="L356" t="s">
        <v>1063</v>
      </c>
      <c r="M356" s="3" t="str">
        <f>HYPERLINK("..\..\Imagery\ScannedPhotos\1993\CG93-015.jpg")</f>
        <v>..\..\Imagery\ScannedPhotos\1993\CG93-015.jpg</v>
      </c>
    </row>
    <row r="357" spans="1:13" x14ac:dyDescent="0.25">
      <c r="A357" t="s">
        <v>1064</v>
      </c>
      <c r="B357">
        <v>582445</v>
      </c>
      <c r="C357">
        <v>5771571</v>
      </c>
      <c r="D357">
        <v>21</v>
      </c>
      <c r="E357" t="s">
        <v>15</v>
      </c>
      <c r="F357" t="s">
        <v>1065</v>
      </c>
      <c r="G357">
        <v>3</v>
      </c>
      <c r="H357" t="s">
        <v>1066</v>
      </c>
      <c r="I357" t="s">
        <v>35</v>
      </c>
      <c r="J357" t="s">
        <v>36</v>
      </c>
      <c r="K357" t="s">
        <v>20</v>
      </c>
      <c r="L357" t="s">
        <v>1067</v>
      </c>
      <c r="M357" s="3" t="str">
        <f>HYPERLINK("..\..\Imagery\ScannedPhotos\1987\CG87-426.1.jpg")</f>
        <v>..\..\Imagery\ScannedPhotos\1987\CG87-426.1.jpg</v>
      </c>
    </row>
    <row r="358" spans="1:13" x14ac:dyDescent="0.25">
      <c r="A358" t="s">
        <v>741</v>
      </c>
      <c r="B358">
        <v>422605</v>
      </c>
      <c r="C358">
        <v>5774107</v>
      </c>
      <c r="D358">
        <v>21</v>
      </c>
      <c r="E358" t="s">
        <v>15</v>
      </c>
      <c r="F358" t="s">
        <v>1068</v>
      </c>
      <c r="G358">
        <v>6</v>
      </c>
      <c r="H358" t="s">
        <v>766</v>
      </c>
      <c r="I358" t="s">
        <v>79</v>
      </c>
      <c r="J358" t="s">
        <v>767</v>
      </c>
      <c r="K358" t="s">
        <v>20</v>
      </c>
      <c r="L358" t="s">
        <v>1069</v>
      </c>
      <c r="M358" s="3" t="str">
        <f>HYPERLINK("..\..\Imagery\ScannedPhotos\1999\CG99-050.3.jpg")</f>
        <v>..\..\Imagery\ScannedPhotos\1999\CG99-050.3.jpg</v>
      </c>
    </row>
    <row r="359" spans="1:13" x14ac:dyDescent="0.25">
      <c r="A359" t="s">
        <v>1070</v>
      </c>
      <c r="B359">
        <v>496425</v>
      </c>
      <c r="C359">
        <v>5860025</v>
      </c>
      <c r="D359">
        <v>21</v>
      </c>
      <c r="E359" t="s">
        <v>15</v>
      </c>
      <c r="F359" t="s">
        <v>1071</v>
      </c>
      <c r="G359">
        <v>6</v>
      </c>
      <c r="H359" t="s">
        <v>616</v>
      </c>
      <c r="I359" t="s">
        <v>195</v>
      </c>
      <c r="J359" t="s">
        <v>413</v>
      </c>
      <c r="K359" t="s">
        <v>20</v>
      </c>
      <c r="L359" t="s">
        <v>1072</v>
      </c>
      <c r="M359" s="3" t="str">
        <f>HYPERLINK("..\..\Imagery\ScannedPhotos\1991\DD91-037.4.jpg")</f>
        <v>..\..\Imagery\ScannedPhotos\1991\DD91-037.4.jpg</v>
      </c>
    </row>
    <row r="360" spans="1:13" x14ac:dyDescent="0.25">
      <c r="A360" t="s">
        <v>1070</v>
      </c>
      <c r="B360">
        <v>496425</v>
      </c>
      <c r="C360">
        <v>5860025</v>
      </c>
      <c r="D360">
        <v>21</v>
      </c>
      <c r="E360" t="s">
        <v>15</v>
      </c>
      <c r="F360" t="s">
        <v>1073</v>
      </c>
      <c r="G360">
        <v>6</v>
      </c>
      <c r="H360" t="s">
        <v>616</v>
      </c>
      <c r="I360" t="s">
        <v>304</v>
      </c>
      <c r="J360" t="s">
        <v>413</v>
      </c>
      <c r="K360" t="s">
        <v>20</v>
      </c>
      <c r="L360" t="s">
        <v>1072</v>
      </c>
      <c r="M360" s="3" t="str">
        <f>HYPERLINK("..\..\Imagery\ScannedPhotos\1991\DD91-037.3.jpg")</f>
        <v>..\..\Imagery\ScannedPhotos\1991\DD91-037.3.jpg</v>
      </c>
    </row>
    <row r="361" spans="1:13" x14ac:dyDescent="0.25">
      <c r="A361" t="s">
        <v>1074</v>
      </c>
      <c r="B361">
        <v>517524</v>
      </c>
      <c r="C361">
        <v>5712120</v>
      </c>
      <c r="D361">
        <v>21</v>
      </c>
      <c r="E361" t="s">
        <v>15</v>
      </c>
      <c r="F361" t="s">
        <v>1075</v>
      </c>
      <c r="G361">
        <v>9</v>
      </c>
      <c r="H361" t="s">
        <v>1076</v>
      </c>
      <c r="I361" t="s">
        <v>74</v>
      </c>
      <c r="J361" t="s">
        <v>570</v>
      </c>
      <c r="K361" t="s">
        <v>56</v>
      </c>
      <c r="L361" t="s">
        <v>1077</v>
      </c>
      <c r="M361" s="3" t="str">
        <f>HYPERLINK("..\..\Imagery\ScannedPhotos\1993\CG93-268.6.jpg")</f>
        <v>..\..\Imagery\ScannedPhotos\1993\CG93-268.6.jpg</v>
      </c>
    </row>
    <row r="362" spans="1:13" x14ac:dyDescent="0.25">
      <c r="A362" t="s">
        <v>1078</v>
      </c>
      <c r="B362">
        <v>514518</v>
      </c>
      <c r="C362">
        <v>5822840</v>
      </c>
      <c r="D362">
        <v>21</v>
      </c>
      <c r="E362" t="s">
        <v>15</v>
      </c>
      <c r="F362" t="s">
        <v>1079</v>
      </c>
      <c r="G362">
        <v>3</v>
      </c>
      <c r="H362" t="s">
        <v>288</v>
      </c>
      <c r="I362" t="s">
        <v>137</v>
      </c>
      <c r="J362" t="s">
        <v>289</v>
      </c>
      <c r="K362" t="s">
        <v>20</v>
      </c>
      <c r="L362" t="s">
        <v>1080</v>
      </c>
      <c r="M362" s="3" t="str">
        <f>HYPERLINK("..\..\Imagery\ScannedPhotos\1986\CG86-621.1.jpg")</f>
        <v>..\..\Imagery\ScannedPhotos\1986\CG86-621.1.jpg</v>
      </c>
    </row>
    <row r="363" spans="1:13" x14ac:dyDescent="0.25">
      <c r="A363" t="s">
        <v>1081</v>
      </c>
      <c r="B363">
        <v>566494</v>
      </c>
      <c r="C363">
        <v>5843020</v>
      </c>
      <c r="D363">
        <v>21</v>
      </c>
      <c r="E363" t="s">
        <v>15</v>
      </c>
      <c r="F363" t="s">
        <v>1082</v>
      </c>
      <c r="G363">
        <v>3</v>
      </c>
      <c r="H363" t="s">
        <v>288</v>
      </c>
      <c r="I363" t="s">
        <v>94</v>
      </c>
      <c r="J363" t="s">
        <v>289</v>
      </c>
      <c r="K363" t="s">
        <v>20</v>
      </c>
      <c r="L363" t="s">
        <v>1083</v>
      </c>
      <c r="M363" s="3" t="str">
        <f>HYPERLINK("..\..\Imagery\ScannedPhotos\1986\CG86-668.3.jpg")</f>
        <v>..\..\Imagery\ScannedPhotos\1986\CG86-668.3.jpg</v>
      </c>
    </row>
    <row r="364" spans="1:13" x14ac:dyDescent="0.25">
      <c r="A364" t="s">
        <v>523</v>
      </c>
      <c r="B364">
        <v>575599</v>
      </c>
      <c r="C364">
        <v>5756653</v>
      </c>
      <c r="D364">
        <v>21</v>
      </c>
      <c r="E364" t="s">
        <v>15</v>
      </c>
      <c r="F364" t="s">
        <v>1084</v>
      </c>
      <c r="G364">
        <v>16</v>
      </c>
      <c r="H364" t="s">
        <v>984</v>
      </c>
      <c r="I364" t="s">
        <v>69</v>
      </c>
      <c r="J364" t="s">
        <v>985</v>
      </c>
      <c r="K364" t="s">
        <v>20</v>
      </c>
      <c r="L364" t="s">
        <v>1085</v>
      </c>
      <c r="M364" s="3" t="str">
        <f>HYPERLINK("..\..\Imagery\ScannedPhotos\1993\VN93-662.8.jpg")</f>
        <v>..\..\Imagery\ScannedPhotos\1993\VN93-662.8.jpg</v>
      </c>
    </row>
    <row r="365" spans="1:13" x14ac:dyDescent="0.25">
      <c r="A365" t="s">
        <v>523</v>
      </c>
      <c r="B365">
        <v>575599</v>
      </c>
      <c r="C365">
        <v>5756653</v>
      </c>
      <c r="D365">
        <v>21</v>
      </c>
      <c r="E365" t="s">
        <v>15</v>
      </c>
      <c r="F365" t="s">
        <v>1086</v>
      </c>
      <c r="G365">
        <v>16</v>
      </c>
      <c r="H365" t="s">
        <v>984</v>
      </c>
      <c r="I365" t="s">
        <v>281</v>
      </c>
      <c r="J365" t="s">
        <v>985</v>
      </c>
      <c r="K365" t="s">
        <v>20</v>
      </c>
      <c r="L365" t="s">
        <v>1087</v>
      </c>
      <c r="M365" s="3" t="str">
        <f>HYPERLINK("..\..\Imagery\ScannedPhotos\1993\VN93-662.4.jpg")</f>
        <v>..\..\Imagery\ScannedPhotos\1993\VN93-662.4.jpg</v>
      </c>
    </row>
    <row r="366" spans="1:13" x14ac:dyDescent="0.25">
      <c r="A366" t="s">
        <v>1088</v>
      </c>
      <c r="B366">
        <v>573335</v>
      </c>
      <c r="C366">
        <v>5838471</v>
      </c>
      <c r="D366">
        <v>21</v>
      </c>
      <c r="E366" t="s">
        <v>15</v>
      </c>
      <c r="F366" t="s">
        <v>1089</v>
      </c>
      <c r="G366">
        <v>1</v>
      </c>
      <c r="H366" t="s">
        <v>874</v>
      </c>
      <c r="I366" t="s">
        <v>52</v>
      </c>
      <c r="J366" t="s">
        <v>300</v>
      </c>
      <c r="K366" t="s">
        <v>20</v>
      </c>
      <c r="L366" t="s">
        <v>1090</v>
      </c>
      <c r="M366" s="3" t="str">
        <f>HYPERLINK("..\..\Imagery\ScannedPhotos\1986\SN86-328.jpg")</f>
        <v>..\..\Imagery\ScannedPhotos\1986\SN86-328.jpg</v>
      </c>
    </row>
    <row r="367" spans="1:13" x14ac:dyDescent="0.25">
      <c r="A367" t="s">
        <v>872</v>
      </c>
      <c r="B367">
        <v>575531</v>
      </c>
      <c r="C367">
        <v>5839075</v>
      </c>
      <c r="D367">
        <v>21</v>
      </c>
      <c r="E367" t="s">
        <v>15</v>
      </c>
      <c r="F367" t="s">
        <v>1091</v>
      </c>
      <c r="G367">
        <v>3</v>
      </c>
      <c r="H367" t="s">
        <v>874</v>
      </c>
      <c r="I367" t="s">
        <v>65</v>
      </c>
      <c r="J367" t="s">
        <v>300</v>
      </c>
      <c r="K367" t="s">
        <v>20</v>
      </c>
      <c r="L367" t="s">
        <v>1092</v>
      </c>
      <c r="M367" s="3" t="str">
        <f>HYPERLINK("..\..\Imagery\ScannedPhotos\1986\SN86-331.1.jpg")</f>
        <v>..\..\Imagery\ScannedPhotos\1986\SN86-331.1.jpg</v>
      </c>
    </row>
    <row r="368" spans="1:13" x14ac:dyDescent="0.25">
      <c r="A368" t="s">
        <v>1093</v>
      </c>
      <c r="B368">
        <v>498100</v>
      </c>
      <c r="C368">
        <v>5811900</v>
      </c>
      <c r="D368">
        <v>21</v>
      </c>
      <c r="E368" t="s">
        <v>15</v>
      </c>
      <c r="F368" t="s">
        <v>1094</v>
      </c>
      <c r="G368">
        <v>1</v>
      </c>
      <c r="H368" t="s">
        <v>1095</v>
      </c>
      <c r="I368" t="s">
        <v>214</v>
      </c>
      <c r="J368" t="s">
        <v>1096</v>
      </c>
      <c r="K368" t="s">
        <v>56</v>
      </c>
      <c r="L368" t="s">
        <v>1097</v>
      </c>
      <c r="M368" s="3" t="str">
        <f>HYPERLINK("..\..\Imagery\ScannedPhotos\1992\VN92-056.jpg")</f>
        <v>..\..\Imagery\ScannedPhotos\1992\VN92-056.jpg</v>
      </c>
    </row>
    <row r="369" spans="1:13" x14ac:dyDescent="0.25">
      <c r="A369" t="s">
        <v>1098</v>
      </c>
      <c r="B369">
        <v>492850</v>
      </c>
      <c r="C369">
        <v>5799675</v>
      </c>
      <c r="D369">
        <v>21</v>
      </c>
      <c r="E369" t="s">
        <v>15</v>
      </c>
      <c r="F369" t="s">
        <v>1099</v>
      </c>
      <c r="G369">
        <v>2</v>
      </c>
      <c r="H369" t="s">
        <v>1095</v>
      </c>
      <c r="I369" t="s">
        <v>418</v>
      </c>
      <c r="J369" t="s">
        <v>1096</v>
      </c>
      <c r="K369" t="s">
        <v>20</v>
      </c>
      <c r="L369" t="s">
        <v>1100</v>
      </c>
      <c r="M369" s="3" t="str">
        <f>HYPERLINK("..\..\Imagery\ScannedPhotos\1992\VN92-069.2.jpg")</f>
        <v>..\..\Imagery\ScannedPhotos\1992\VN92-069.2.jpg</v>
      </c>
    </row>
    <row r="370" spans="1:13" x14ac:dyDescent="0.25">
      <c r="A370" t="s">
        <v>1098</v>
      </c>
      <c r="B370">
        <v>492850</v>
      </c>
      <c r="C370">
        <v>5799675</v>
      </c>
      <c r="D370">
        <v>21</v>
      </c>
      <c r="E370" t="s">
        <v>15</v>
      </c>
      <c r="F370" t="s">
        <v>1101</v>
      </c>
      <c r="G370">
        <v>2</v>
      </c>
      <c r="H370" t="s">
        <v>1095</v>
      </c>
      <c r="I370" t="s">
        <v>222</v>
      </c>
      <c r="J370" t="s">
        <v>1096</v>
      </c>
      <c r="K370" t="s">
        <v>20</v>
      </c>
      <c r="L370" t="s">
        <v>1100</v>
      </c>
      <c r="M370" s="3" t="str">
        <f>HYPERLINK("..\..\Imagery\ScannedPhotos\1992\VN92-069.1.jpg")</f>
        <v>..\..\Imagery\ScannedPhotos\1992\VN92-069.1.jpg</v>
      </c>
    </row>
    <row r="371" spans="1:13" x14ac:dyDescent="0.25">
      <c r="A371" t="s">
        <v>1102</v>
      </c>
      <c r="B371">
        <v>497736</v>
      </c>
      <c r="C371">
        <v>5824109</v>
      </c>
      <c r="D371">
        <v>21</v>
      </c>
      <c r="E371" t="s">
        <v>15</v>
      </c>
      <c r="F371" t="s">
        <v>1103</v>
      </c>
      <c r="G371">
        <v>2</v>
      </c>
      <c r="H371" t="s">
        <v>792</v>
      </c>
      <c r="I371" t="s">
        <v>30</v>
      </c>
      <c r="J371" t="s">
        <v>793</v>
      </c>
      <c r="K371" t="s">
        <v>56</v>
      </c>
      <c r="L371" t="s">
        <v>1104</v>
      </c>
      <c r="M371" s="3" t="str">
        <f>HYPERLINK("..\..\Imagery\ScannedPhotos\1991\VN91-330.1.jpg")</f>
        <v>..\..\Imagery\ScannedPhotos\1991\VN91-330.1.jpg</v>
      </c>
    </row>
    <row r="372" spans="1:13" x14ac:dyDescent="0.25">
      <c r="A372" t="s">
        <v>1105</v>
      </c>
      <c r="B372">
        <v>433825</v>
      </c>
      <c r="C372">
        <v>5788174</v>
      </c>
      <c r="D372">
        <v>21</v>
      </c>
      <c r="E372" t="s">
        <v>15</v>
      </c>
      <c r="F372" t="s">
        <v>1106</v>
      </c>
      <c r="G372">
        <v>1</v>
      </c>
      <c r="H372" t="s">
        <v>1107</v>
      </c>
      <c r="I372" t="s">
        <v>18</v>
      </c>
      <c r="J372" t="s">
        <v>747</v>
      </c>
      <c r="K372" t="s">
        <v>56</v>
      </c>
      <c r="L372" t="s">
        <v>1108</v>
      </c>
      <c r="M372" s="3" t="str">
        <f>HYPERLINK("..\..\Imagery\ScannedPhotos\1992\CG92-117.jpg")</f>
        <v>..\..\Imagery\ScannedPhotos\1992\CG92-117.jpg</v>
      </c>
    </row>
    <row r="373" spans="1:13" x14ac:dyDescent="0.25">
      <c r="A373" t="s">
        <v>1109</v>
      </c>
      <c r="B373">
        <v>433587</v>
      </c>
      <c r="C373">
        <v>5787108</v>
      </c>
      <c r="D373">
        <v>21</v>
      </c>
      <c r="E373" t="s">
        <v>15</v>
      </c>
      <c r="F373" t="s">
        <v>1110</v>
      </c>
      <c r="G373">
        <v>2</v>
      </c>
      <c r="H373" t="s">
        <v>1107</v>
      </c>
      <c r="I373" t="s">
        <v>35</v>
      </c>
      <c r="J373" t="s">
        <v>747</v>
      </c>
      <c r="K373" t="s">
        <v>56</v>
      </c>
      <c r="L373" t="s">
        <v>1111</v>
      </c>
      <c r="M373" s="3" t="str">
        <f>HYPERLINK("..\..\Imagery\ScannedPhotos\1992\CG92-118.1.jpg")</f>
        <v>..\..\Imagery\ScannedPhotos\1992\CG92-118.1.jpg</v>
      </c>
    </row>
    <row r="374" spans="1:13" x14ac:dyDescent="0.25">
      <c r="A374" t="s">
        <v>1112</v>
      </c>
      <c r="B374">
        <v>432472</v>
      </c>
      <c r="C374">
        <v>5782434</v>
      </c>
      <c r="D374">
        <v>21</v>
      </c>
      <c r="E374" t="s">
        <v>15</v>
      </c>
      <c r="F374" t="s">
        <v>1113</v>
      </c>
      <c r="G374">
        <v>3</v>
      </c>
      <c r="H374" t="s">
        <v>1107</v>
      </c>
      <c r="I374" t="s">
        <v>85</v>
      </c>
      <c r="J374" t="s">
        <v>747</v>
      </c>
      <c r="K374" t="s">
        <v>20</v>
      </c>
      <c r="L374" t="s">
        <v>1114</v>
      </c>
      <c r="M374" s="3" t="str">
        <f>HYPERLINK("..\..\Imagery\ScannedPhotos\1992\CG92-119.3.jpg")</f>
        <v>..\..\Imagery\ScannedPhotos\1992\CG92-119.3.jpg</v>
      </c>
    </row>
    <row r="375" spans="1:13" x14ac:dyDescent="0.25">
      <c r="A375" t="s">
        <v>1112</v>
      </c>
      <c r="B375">
        <v>432472</v>
      </c>
      <c r="C375">
        <v>5782434</v>
      </c>
      <c r="D375">
        <v>21</v>
      </c>
      <c r="E375" t="s">
        <v>15</v>
      </c>
      <c r="F375" t="s">
        <v>1115</v>
      </c>
      <c r="G375">
        <v>3</v>
      </c>
      <c r="H375" t="s">
        <v>1107</v>
      </c>
      <c r="I375" t="s">
        <v>74</v>
      </c>
      <c r="J375" t="s">
        <v>747</v>
      </c>
      <c r="K375" t="s">
        <v>20</v>
      </c>
      <c r="L375" t="s">
        <v>1116</v>
      </c>
      <c r="M375" s="3" t="str">
        <f>HYPERLINK("..\..\Imagery\ScannedPhotos\1992\CG92-119.1.jpg")</f>
        <v>..\..\Imagery\ScannedPhotos\1992\CG92-119.1.jpg</v>
      </c>
    </row>
    <row r="376" spans="1:13" x14ac:dyDescent="0.25">
      <c r="A376" t="s">
        <v>1112</v>
      </c>
      <c r="B376">
        <v>432472</v>
      </c>
      <c r="C376">
        <v>5782434</v>
      </c>
      <c r="D376">
        <v>21</v>
      </c>
      <c r="E376" t="s">
        <v>15</v>
      </c>
      <c r="F376" t="s">
        <v>1117</v>
      </c>
      <c r="G376">
        <v>3</v>
      </c>
      <c r="H376" t="s">
        <v>1107</v>
      </c>
      <c r="I376" t="s">
        <v>41</v>
      </c>
      <c r="J376" t="s">
        <v>747</v>
      </c>
      <c r="K376" t="s">
        <v>56</v>
      </c>
      <c r="L376" t="s">
        <v>1118</v>
      </c>
      <c r="M376" s="3" t="str">
        <f>HYPERLINK("..\..\Imagery\ScannedPhotos\1992\CG92-119.2.jpg")</f>
        <v>..\..\Imagery\ScannedPhotos\1992\CG92-119.2.jpg</v>
      </c>
    </row>
    <row r="377" spans="1:13" x14ac:dyDescent="0.25">
      <c r="A377" t="s">
        <v>1119</v>
      </c>
      <c r="B377">
        <v>432481</v>
      </c>
      <c r="C377">
        <v>5781861</v>
      </c>
      <c r="D377">
        <v>21</v>
      </c>
      <c r="E377" t="s">
        <v>15</v>
      </c>
      <c r="F377" t="s">
        <v>1120</v>
      </c>
      <c r="G377">
        <v>3</v>
      </c>
      <c r="H377" t="s">
        <v>1107</v>
      </c>
      <c r="I377" t="s">
        <v>375</v>
      </c>
      <c r="J377" t="s">
        <v>747</v>
      </c>
      <c r="K377" t="s">
        <v>20</v>
      </c>
      <c r="L377" t="s">
        <v>1121</v>
      </c>
      <c r="M377" s="3" t="str">
        <f>HYPERLINK("..\..\Imagery\ScannedPhotos\1992\CG92-120.1.jpg")</f>
        <v>..\..\Imagery\ScannedPhotos\1992\CG92-120.1.jpg</v>
      </c>
    </row>
    <row r="378" spans="1:13" x14ac:dyDescent="0.25">
      <c r="A378" t="s">
        <v>1119</v>
      </c>
      <c r="B378">
        <v>432481</v>
      </c>
      <c r="C378">
        <v>5781861</v>
      </c>
      <c r="D378">
        <v>21</v>
      </c>
      <c r="E378" t="s">
        <v>15</v>
      </c>
      <c r="F378" t="s">
        <v>1122</v>
      </c>
      <c r="G378">
        <v>3</v>
      </c>
      <c r="H378" t="s">
        <v>1107</v>
      </c>
      <c r="I378" t="s">
        <v>94</v>
      </c>
      <c r="J378" t="s">
        <v>747</v>
      </c>
      <c r="K378" t="s">
        <v>56</v>
      </c>
      <c r="L378" t="s">
        <v>1123</v>
      </c>
      <c r="M378" s="3" t="str">
        <f>HYPERLINK("..\..\Imagery\ScannedPhotos\1992\CG92-120.2.jpg")</f>
        <v>..\..\Imagery\ScannedPhotos\1992\CG92-120.2.jpg</v>
      </c>
    </row>
    <row r="379" spans="1:13" x14ac:dyDescent="0.25">
      <c r="A379" t="s">
        <v>1119</v>
      </c>
      <c r="B379">
        <v>432481</v>
      </c>
      <c r="C379">
        <v>5781861</v>
      </c>
      <c r="D379">
        <v>21</v>
      </c>
      <c r="E379" t="s">
        <v>15</v>
      </c>
      <c r="F379" t="s">
        <v>1124</v>
      </c>
      <c r="G379">
        <v>3</v>
      </c>
      <c r="H379" t="s">
        <v>1107</v>
      </c>
      <c r="I379" t="s">
        <v>209</v>
      </c>
      <c r="J379" t="s">
        <v>747</v>
      </c>
      <c r="K379" t="s">
        <v>56</v>
      </c>
      <c r="L379" t="s">
        <v>1125</v>
      </c>
      <c r="M379" s="3" t="str">
        <f>HYPERLINK("..\..\Imagery\ScannedPhotos\1992\CG92-120.3.jpg")</f>
        <v>..\..\Imagery\ScannedPhotos\1992\CG92-120.3.jpg</v>
      </c>
    </row>
    <row r="380" spans="1:13" x14ac:dyDescent="0.25">
      <c r="A380" t="s">
        <v>1126</v>
      </c>
      <c r="B380">
        <v>487675</v>
      </c>
      <c r="C380">
        <v>5846992</v>
      </c>
      <c r="D380">
        <v>21</v>
      </c>
      <c r="E380" t="s">
        <v>15</v>
      </c>
      <c r="F380" t="s">
        <v>1127</v>
      </c>
      <c r="G380">
        <v>3</v>
      </c>
      <c r="H380" t="s">
        <v>1128</v>
      </c>
      <c r="I380" t="s">
        <v>217</v>
      </c>
      <c r="J380" t="s">
        <v>1129</v>
      </c>
      <c r="K380" t="s">
        <v>20</v>
      </c>
      <c r="L380" t="s">
        <v>1130</v>
      </c>
      <c r="M380" s="3" t="str">
        <f>HYPERLINK("..\..\Imagery\ScannedPhotos\1991\VN91-106.3.jpg")</f>
        <v>..\..\Imagery\ScannedPhotos\1991\VN91-106.3.jpg</v>
      </c>
    </row>
    <row r="381" spans="1:13" x14ac:dyDescent="0.25">
      <c r="A381" t="s">
        <v>1131</v>
      </c>
      <c r="B381">
        <v>401288</v>
      </c>
      <c r="C381">
        <v>5990609</v>
      </c>
      <c r="D381">
        <v>21</v>
      </c>
      <c r="E381" t="s">
        <v>15</v>
      </c>
      <c r="F381" t="s">
        <v>1132</v>
      </c>
      <c r="G381">
        <v>2</v>
      </c>
      <c r="H381" t="s">
        <v>1133</v>
      </c>
      <c r="I381" t="s">
        <v>122</v>
      </c>
      <c r="J381" t="s">
        <v>623</v>
      </c>
      <c r="K381" t="s">
        <v>20</v>
      </c>
      <c r="L381" t="s">
        <v>1134</v>
      </c>
      <c r="M381" s="3" t="str">
        <f>HYPERLINK("..\..\Imagery\ScannedPhotos\1980\CG80-200.2.jpg")</f>
        <v>..\..\Imagery\ScannedPhotos\1980\CG80-200.2.jpg</v>
      </c>
    </row>
    <row r="382" spans="1:13" x14ac:dyDescent="0.25">
      <c r="A382" t="s">
        <v>1135</v>
      </c>
      <c r="B382">
        <v>400197</v>
      </c>
      <c r="C382">
        <v>5938014</v>
      </c>
      <c r="D382">
        <v>21</v>
      </c>
      <c r="E382" t="s">
        <v>15</v>
      </c>
      <c r="F382" t="s">
        <v>1136</v>
      </c>
      <c r="G382">
        <v>3</v>
      </c>
      <c r="H382" t="s">
        <v>46</v>
      </c>
      <c r="I382" t="s">
        <v>143</v>
      </c>
      <c r="J382" t="s">
        <v>48</v>
      </c>
      <c r="K382" t="s">
        <v>20</v>
      </c>
      <c r="L382" t="s">
        <v>1137</v>
      </c>
      <c r="M382" s="3" t="str">
        <f>HYPERLINK("..\..\Imagery\ScannedPhotos\1981\GF81-167.2.jpg")</f>
        <v>..\..\Imagery\ScannedPhotos\1981\GF81-167.2.jpg</v>
      </c>
    </row>
    <row r="383" spans="1:13" x14ac:dyDescent="0.25">
      <c r="A383" t="s">
        <v>1138</v>
      </c>
      <c r="B383">
        <v>486250</v>
      </c>
      <c r="C383">
        <v>5843867</v>
      </c>
      <c r="D383">
        <v>21</v>
      </c>
      <c r="E383" t="s">
        <v>15</v>
      </c>
      <c r="F383" t="s">
        <v>1139</v>
      </c>
      <c r="G383">
        <v>1</v>
      </c>
      <c r="H383" t="s">
        <v>1128</v>
      </c>
      <c r="I383" t="s">
        <v>647</v>
      </c>
      <c r="J383" t="s">
        <v>1129</v>
      </c>
      <c r="K383" t="s">
        <v>20</v>
      </c>
      <c r="L383" t="s">
        <v>1140</v>
      </c>
      <c r="M383" s="3" t="str">
        <f>HYPERLINK("..\..\Imagery\ScannedPhotos\1991\VN91-111.jpg")</f>
        <v>..\..\Imagery\ScannedPhotos\1991\VN91-111.jpg</v>
      </c>
    </row>
    <row r="384" spans="1:13" x14ac:dyDescent="0.25">
      <c r="A384" t="s">
        <v>1141</v>
      </c>
      <c r="B384">
        <v>486017</v>
      </c>
      <c r="C384">
        <v>5843108</v>
      </c>
      <c r="D384">
        <v>21</v>
      </c>
      <c r="E384" t="s">
        <v>15</v>
      </c>
      <c r="F384" t="s">
        <v>1142</v>
      </c>
      <c r="G384">
        <v>2</v>
      </c>
      <c r="H384" t="s">
        <v>1128</v>
      </c>
      <c r="I384" t="s">
        <v>30</v>
      </c>
      <c r="J384" t="s">
        <v>1129</v>
      </c>
      <c r="K384" t="s">
        <v>20</v>
      </c>
      <c r="L384" t="s">
        <v>1143</v>
      </c>
      <c r="M384" s="3" t="str">
        <f>HYPERLINK("..\..\Imagery\ScannedPhotos\1991\VN91-113.1.jpg")</f>
        <v>..\..\Imagery\ScannedPhotos\1991\VN91-113.1.jpg</v>
      </c>
    </row>
    <row r="385" spans="1:13" x14ac:dyDescent="0.25">
      <c r="A385" t="s">
        <v>1144</v>
      </c>
      <c r="B385">
        <v>497637</v>
      </c>
      <c r="C385">
        <v>5941694</v>
      </c>
      <c r="D385">
        <v>21</v>
      </c>
      <c r="E385" t="s">
        <v>15</v>
      </c>
      <c r="F385" t="s">
        <v>1145</v>
      </c>
      <c r="G385">
        <v>7</v>
      </c>
      <c r="K385" t="s">
        <v>935</v>
      </c>
      <c r="L385" t="s">
        <v>1146</v>
      </c>
      <c r="M385" s="3" t="str">
        <f>HYPERLINK("..\..\Imagery\ScannedPhotos\2004\CG04-158.1.jpg")</f>
        <v>..\..\Imagery\ScannedPhotos\2004\CG04-158.1.jpg</v>
      </c>
    </row>
    <row r="386" spans="1:13" x14ac:dyDescent="0.25">
      <c r="A386" t="s">
        <v>1144</v>
      </c>
      <c r="B386">
        <v>497637</v>
      </c>
      <c r="C386">
        <v>5941694</v>
      </c>
      <c r="D386">
        <v>21</v>
      </c>
      <c r="E386" t="s">
        <v>15</v>
      </c>
      <c r="F386" t="s">
        <v>1147</v>
      </c>
      <c r="G386">
        <v>7</v>
      </c>
      <c r="K386" t="s">
        <v>935</v>
      </c>
      <c r="L386" t="s">
        <v>1148</v>
      </c>
      <c r="M386" s="3" t="str">
        <f>HYPERLINK("..\..\Imagery\ScannedPhotos\2004\CG04-158.2.jpg")</f>
        <v>..\..\Imagery\ScannedPhotos\2004\CG04-158.2.jpg</v>
      </c>
    </row>
    <row r="387" spans="1:13" x14ac:dyDescent="0.25">
      <c r="A387" t="s">
        <v>1144</v>
      </c>
      <c r="B387">
        <v>497637</v>
      </c>
      <c r="C387">
        <v>5941694</v>
      </c>
      <c r="D387">
        <v>21</v>
      </c>
      <c r="E387" t="s">
        <v>15</v>
      </c>
      <c r="F387" t="s">
        <v>1149</v>
      </c>
      <c r="G387">
        <v>7</v>
      </c>
      <c r="K387" t="s">
        <v>935</v>
      </c>
      <c r="L387" t="s">
        <v>1150</v>
      </c>
      <c r="M387" s="3" t="str">
        <f>HYPERLINK("..\..\Imagery\ScannedPhotos\2004\CG04-158.3.jpg")</f>
        <v>..\..\Imagery\ScannedPhotos\2004\CG04-158.3.jpg</v>
      </c>
    </row>
    <row r="388" spans="1:13" x14ac:dyDescent="0.25">
      <c r="A388" t="s">
        <v>1151</v>
      </c>
      <c r="B388">
        <v>415292</v>
      </c>
      <c r="C388">
        <v>6006631</v>
      </c>
      <c r="D388">
        <v>21</v>
      </c>
      <c r="E388" t="s">
        <v>15</v>
      </c>
      <c r="F388" t="s">
        <v>1152</v>
      </c>
      <c r="G388">
        <v>4</v>
      </c>
      <c r="H388" t="s">
        <v>900</v>
      </c>
      <c r="I388" t="s">
        <v>217</v>
      </c>
      <c r="J388" t="s">
        <v>652</v>
      </c>
      <c r="K388" t="s">
        <v>20</v>
      </c>
      <c r="L388" t="s">
        <v>1153</v>
      </c>
      <c r="M388" s="3" t="str">
        <f>HYPERLINK("..\..\Imagery\ScannedPhotos\1980\RG80-015.4.jpg")</f>
        <v>..\..\Imagery\ScannedPhotos\1980\RG80-015.4.jpg</v>
      </c>
    </row>
    <row r="389" spans="1:13" x14ac:dyDescent="0.25">
      <c r="A389" t="s">
        <v>1154</v>
      </c>
      <c r="B389">
        <v>410246</v>
      </c>
      <c r="C389">
        <v>5994976</v>
      </c>
      <c r="D389">
        <v>21</v>
      </c>
      <c r="E389" t="s">
        <v>15</v>
      </c>
      <c r="F389" t="s">
        <v>1155</v>
      </c>
      <c r="G389">
        <v>2</v>
      </c>
      <c r="H389" t="s">
        <v>1156</v>
      </c>
      <c r="I389" t="s">
        <v>129</v>
      </c>
      <c r="J389" t="s">
        <v>95</v>
      </c>
      <c r="K389" t="s">
        <v>20</v>
      </c>
      <c r="L389" t="s">
        <v>1157</v>
      </c>
      <c r="M389" s="3" t="str">
        <f>HYPERLINK("..\..\Imagery\ScannedPhotos\1980\CG80-154.2.jpg")</f>
        <v>..\..\Imagery\ScannedPhotos\1980\CG80-154.2.jpg</v>
      </c>
    </row>
    <row r="390" spans="1:13" x14ac:dyDescent="0.25">
      <c r="A390" t="s">
        <v>1158</v>
      </c>
      <c r="B390">
        <v>582639</v>
      </c>
      <c r="C390">
        <v>5876405</v>
      </c>
      <c r="D390">
        <v>21</v>
      </c>
      <c r="E390" t="s">
        <v>15</v>
      </c>
      <c r="F390" t="s">
        <v>1159</v>
      </c>
      <c r="G390">
        <v>1</v>
      </c>
      <c r="H390" t="s">
        <v>1013</v>
      </c>
      <c r="I390" t="s">
        <v>129</v>
      </c>
      <c r="J390" t="s">
        <v>1014</v>
      </c>
      <c r="K390" t="s">
        <v>20</v>
      </c>
      <c r="L390" t="s">
        <v>1160</v>
      </c>
      <c r="M390" s="3" t="str">
        <f>HYPERLINK("..\..\Imagery\ScannedPhotos\1985\CG85-473.jpg")</f>
        <v>..\..\Imagery\ScannedPhotos\1985\CG85-473.jpg</v>
      </c>
    </row>
    <row r="391" spans="1:13" x14ac:dyDescent="0.25">
      <c r="A391" t="s">
        <v>1161</v>
      </c>
      <c r="B391">
        <v>488461</v>
      </c>
      <c r="C391">
        <v>5784344</v>
      </c>
      <c r="D391">
        <v>21</v>
      </c>
      <c r="E391" t="s">
        <v>15</v>
      </c>
      <c r="F391" t="s">
        <v>1162</v>
      </c>
      <c r="G391">
        <v>1</v>
      </c>
      <c r="H391" t="s">
        <v>1163</v>
      </c>
      <c r="I391" t="s">
        <v>647</v>
      </c>
      <c r="J391" t="s">
        <v>814</v>
      </c>
      <c r="K391" t="s">
        <v>56</v>
      </c>
      <c r="L391" t="s">
        <v>1164</v>
      </c>
      <c r="M391" s="3" t="str">
        <f>HYPERLINK("..\..\Imagery\ScannedPhotos\1992\VN92-146.jpg")</f>
        <v>..\..\Imagery\ScannedPhotos\1992\VN92-146.jpg</v>
      </c>
    </row>
    <row r="392" spans="1:13" x14ac:dyDescent="0.25">
      <c r="A392" t="s">
        <v>1165</v>
      </c>
      <c r="B392">
        <v>452759</v>
      </c>
      <c r="C392">
        <v>5776015</v>
      </c>
      <c r="D392">
        <v>21</v>
      </c>
      <c r="E392" t="s">
        <v>15</v>
      </c>
      <c r="F392" t="s">
        <v>1166</v>
      </c>
      <c r="G392">
        <v>2</v>
      </c>
      <c r="H392" t="s">
        <v>1163</v>
      </c>
      <c r="I392" t="s">
        <v>119</v>
      </c>
      <c r="J392" t="s">
        <v>814</v>
      </c>
      <c r="K392" t="s">
        <v>20</v>
      </c>
      <c r="L392" t="s">
        <v>1167</v>
      </c>
      <c r="M392" s="3" t="str">
        <f>HYPERLINK("..\..\Imagery\ScannedPhotos\1992\VN92-153.2.jpg")</f>
        <v>..\..\Imagery\ScannedPhotos\1992\VN92-153.2.jpg</v>
      </c>
    </row>
    <row r="393" spans="1:13" x14ac:dyDescent="0.25">
      <c r="A393" t="s">
        <v>1074</v>
      </c>
      <c r="B393">
        <v>517524</v>
      </c>
      <c r="C393">
        <v>5712120</v>
      </c>
      <c r="D393">
        <v>21</v>
      </c>
      <c r="E393" t="s">
        <v>15</v>
      </c>
      <c r="F393" t="s">
        <v>1168</v>
      </c>
      <c r="G393">
        <v>9</v>
      </c>
      <c r="H393" t="s">
        <v>1076</v>
      </c>
      <c r="I393" t="s">
        <v>69</v>
      </c>
      <c r="J393" t="s">
        <v>570</v>
      </c>
      <c r="K393" t="s">
        <v>20</v>
      </c>
      <c r="L393" t="s">
        <v>1169</v>
      </c>
      <c r="M393" s="3" t="str">
        <f>HYPERLINK("..\..\Imagery\ScannedPhotos\1993\CG93-268.5.jpg")</f>
        <v>..\..\Imagery\ScannedPhotos\1993\CG93-268.5.jpg</v>
      </c>
    </row>
    <row r="394" spans="1:13" x14ac:dyDescent="0.25">
      <c r="A394" t="s">
        <v>1074</v>
      </c>
      <c r="B394">
        <v>517524</v>
      </c>
      <c r="C394">
        <v>5712120</v>
      </c>
      <c r="D394">
        <v>21</v>
      </c>
      <c r="E394" t="s">
        <v>15</v>
      </c>
      <c r="F394" t="s">
        <v>1170</v>
      </c>
      <c r="G394">
        <v>9</v>
      </c>
      <c r="H394" t="s">
        <v>1171</v>
      </c>
      <c r="I394" t="s">
        <v>69</v>
      </c>
      <c r="J394" t="s">
        <v>563</v>
      </c>
      <c r="K394" t="s">
        <v>56</v>
      </c>
      <c r="L394" t="s">
        <v>1172</v>
      </c>
      <c r="M394" s="3" t="str">
        <f>HYPERLINK("..\..\Imagery\ScannedPhotos\1993\CG93-268.9.jpg")</f>
        <v>..\..\Imagery\ScannedPhotos\1993\CG93-268.9.jpg</v>
      </c>
    </row>
    <row r="395" spans="1:13" x14ac:dyDescent="0.25">
      <c r="A395" t="s">
        <v>1173</v>
      </c>
      <c r="B395">
        <v>481279</v>
      </c>
      <c r="C395">
        <v>5983271</v>
      </c>
      <c r="D395">
        <v>21</v>
      </c>
      <c r="E395" t="s">
        <v>15</v>
      </c>
      <c r="F395" t="s">
        <v>1174</v>
      </c>
      <c r="G395">
        <v>3</v>
      </c>
      <c r="H395" t="s">
        <v>1175</v>
      </c>
      <c r="I395" t="s">
        <v>35</v>
      </c>
      <c r="J395" t="s">
        <v>1176</v>
      </c>
      <c r="K395" t="s">
        <v>20</v>
      </c>
      <c r="L395" t="s">
        <v>645</v>
      </c>
      <c r="M395" s="3" t="str">
        <f>HYPERLINK("..\..\Imagery\ScannedPhotos\1980\CG80-732.2.jpg")</f>
        <v>..\..\Imagery\ScannedPhotos\1980\CG80-732.2.jpg</v>
      </c>
    </row>
    <row r="396" spans="1:13" x14ac:dyDescent="0.25">
      <c r="A396" t="s">
        <v>1173</v>
      </c>
      <c r="B396">
        <v>481279</v>
      </c>
      <c r="C396">
        <v>5983271</v>
      </c>
      <c r="D396">
        <v>21</v>
      </c>
      <c r="E396" t="s">
        <v>15</v>
      </c>
      <c r="F396" t="s">
        <v>1177</v>
      </c>
      <c r="G396">
        <v>3</v>
      </c>
      <c r="H396" t="s">
        <v>1175</v>
      </c>
      <c r="I396" t="s">
        <v>69</v>
      </c>
      <c r="J396" t="s">
        <v>1176</v>
      </c>
      <c r="K396" t="s">
        <v>20</v>
      </c>
      <c r="L396" t="s">
        <v>1178</v>
      </c>
      <c r="M396" s="3" t="str">
        <f>HYPERLINK("..\..\Imagery\ScannedPhotos\1980\CG80-732.3.jpg")</f>
        <v>..\..\Imagery\ScannedPhotos\1980\CG80-732.3.jpg</v>
      </c>
    </row>
    <row r="397" spans="1:13" x14ac:dyDescent="0.25">
      <c r="A397" t="s">
        <v>1179</v>
      </c>
      <c r="B397">
        <v>482946</v>
      </c>
      <c r="C397">
        <v>5981360</v>
      </c>
      <c r="D397">
        <v>21</v>
      </c>
      <c r="E397" t="s">
        <v>15</v>
      </c>
      <c r="F397" t="s">
        <v>1180</v>
      </c>
      <c r="G397">
        <v>1</v>
      </c>
      <c r="H397" t="s">
        <v>1175</v>
      </c>
      <c r="I397" t="s">
        <v>74</v>
      </c>
      <c r="J397" t="s">
        <v>1176</v>
      </c>
      <c r="K397" t="s">
        <v>20</v>
      </c>
      <c r="L397" t="s">
        <v>1181</v>
      </c>
      <c r="M397" s="3" t="str">
        <f>HYPERLINK("..\..\Imagery\ScannedPhotos\1980\CG80-737.jpg")</f>
        <v>..\..\Imagery\ScannedPhotos\1980\CG80-737.jpg</v>
      </c>
    </row>
    <row r="398" spans="1:13" x14ac:dyDescent="0.25">
      <c r="A398" t="s">
        <v>1182</v>
      </c>
      <c r="B398">
        <v>453486</v>
      </c>
      <c r="C398">
        <v>5985518</v>
      </c>
      <c r="D398">
        <v>21</v>
      </c>
      <c r="E398" t="s">
        <v>15</v>
      </c>
      <c r="F398" t="s">
        <v>1183</v>
      </c>
      <c r="G398">
        <v>1</v>
      </c>
      <c r="H398" t="s">
        <v>1175</v>
      </c>
      <c r="I398" t="s">
        <v>41</v>
      </c>
      <c r="J398" t="s">
        <v>1176</v>
      </c>
      <c r="K398" t="s">
        <v>20</v>
      </c>
      <c r="L398" t="s">
        <v>642</v>
      </c>
      <c r="M398" s="3" t="str">
        <f>HYPERLINK("..\..\Imagery\ScannedPhotos\1980\CG80-759.jpg")</f>
        <v>..\..\Imagery\ScannedPhotos\1980\CG80-759.jpg</v>
      </c>
    </row>
    <row r="399" spans="1:13" x14ac:dyDescent="0.25">
      <c r="A399" t="s">
        <v>1184</v>
      </c>
      <c r="B399">
        <v>498017</v>
      </c>
      <c r="C399">
        <v>5950628</v>
      </c>
      <c r="D399">
        <v>21</v>
      </c>
      <c r="E399" t="s">
        <v>15</v>
      </c>
      <c r="F399" t="s">
        <v>1185</v>
      </c>
      <c r="G399">
        <v>26</v>
      </c>
      <c r="H399" t="s">
        <v>845</v>
      </c>
      <c r="I399" t="s">
        <v>85</v>
      </c>
      <c r="J399" t="s">
        <v>48</v>
      </c>
      <c r="K399" t="s">
        <v>535</v>
      </c>
      <c r="L399" t="s">
        <v>1186</v>
      </c>
      <c r="M399" s="3" t="str">
        <f>HYPERLINK("..\..\Imagery\ScannedPhotos\1981\CG81-001.10.jpg")</f>
        <v>..\..\Imagery\ScannedPhotos\1981\CG81-001.10.jpg</v>
      </c>
    </row>
    <row r="400" spans="1:13" x14ac:dyDescent="0.25">
      <c r="A400" t="s">
        <v>1184</v>
      </c>
      <c r="B400">
        <v>498017</v>
      </c>
      <c r="C400">
        <v>5950628</v>
      </c>
      <c r="D400">
        <v>21</v>
      </c>
      <c r="E400" t="s">
        <v>15</v>
      </c>
      <c r="F400" t="s">
        <v>1187</v>
      </c>
      <c r="G400">
        <v>26</v>
      </c>
      <c r="H400" t="s">
        <v>1188</v>
      </c>
      <c r="I400" t="s">
        <v>143</v>
      </c>
      <c r="J400" t="s">
        <v>48</v>
      </c>
      <c r="K400" t="s">
        <v>535</v>
      </c>
      <c r="L400" t="s">
        <v>1189</v>
      </c>
      <c r="M400" s="3" t="str">
        <f>HYPERLINK("..\..\Imagery\ScannedPhotos\1981\CG81-001.9.jpg")</f>
        <v>..\..\Imagery\ScannedPhotos\1981\CG81-001.9.jpg</v>
      </c>
    </row>
    <row r="401" spans="1:13" x14ac:dyDescent="0.25">
      <c r="A401" t="s">
        <v>1184</v>
      </c>
      <c r="B401">
        <v>498017</v>
      </c>
      <c r="C401">
        <v>5950628</v>
      </c>
      <c r="D401">
        <v>21</v>
      </c>
      <c r="E401" t="s">
        <v>15</v>
      </c>
      <c r="F401" t="s">
        <v>1190</v>
      </c>
      <c r="G401">
        <v>26</v>
      </c>
      <c r="H401" t="s">
        <v>1188</v>
      </c>
      <c r="I401" t="s">
        <v>129</v>
      </c>
      <c r="J401" t="s">
        <v>48</v>
      </c>
      <c r="K401" t="s">
        <v>535</v>
      </c>
      <c r="L401" t="s">
        <v>1191</v>
      </c>
      <c r="M401" s="3" t="str">
        <f>HYPERLINK("..\..\Imagery\ScannedPhotos\1981\CG81-001.8.jpg")</f>
        <v>..\..\Imagery\ScannedPhotos\1981\CG81-001.8.jpg</v>
      </c>
    </row>
    <row r="402" spans="1:13" x14ac:dyDescent="0.25">
      <c r="A402" t="s">
        <v>1184</v>
      </c>
      <c r="B402">
        <v>498017</v>
      </c>
      <c r="C402">
        <v>5950628</v>
      </c>
      <c r="D402">
        <v>21</v>
      </c>
      <c r="E402" t="s">
        <v>15</v>
      </c>
      <c r="F402" t="s">
        <v>1192</v>
      </c>
      <c r="G402">
        <v>26</v>
      </c>
      <c r="H402" t="s">
        <v>1188</v>
      </c>
      <c r="I402" t="s">
        <v>108</v>
      </c>
      <c r="J402" t="s">
        <v>48</v>
      </c>
      <c r="K402" t="s">
        <v>535</v>
      </c>
      <c r="L402" t="s">
        <v>1193</v>
      </c>
      <c r="M402" s="3" t="str">
        <f>HYPERLINK("..\..\Imagery\ScannedPhotos\1981\CG81-001.7.jpg")</f>
        <v>..\..\Imagery\ScannedPhotos\1981\CG81-001.7.jpg</v>
      </c>
    </row>
    <row r="403" spans="1:13" x14ac:dyDescent="0.25">
      <c r="A403" t="s">
        <v>1184</v>
      </c>
      <c r="B403">
        <v>498017</v>
      </c>
      <c r="C403">
        <v>5950628</v>
      </c>
      <c r="D403">
        <v>21</v>
      </c>
      <c r="E403" t="s">
        <v>15</v>
      </c>
      <c r="F403" t="s">
        <v>1194</v>
      </c>
      <c r="G403">
        <v>26</v>
      </c>
      <c r="H403" t="s">
        <v>1188</v>
      </c>
      <c r="I403" t="s">
        <v>126</v>
      </c>
      <c r="J403" t="s">
        <v>48</v>
      </c>
      <c r="K403" t="s">
        <v>535</v>
      </c>
      <c r="L403" t="s">
        <v>1195</v>
      </c>
      <c r="M403" s="3" t="str">
        <f>HYPERLINK("..\..\Imagery\ScannedPhotos\1981\CG81-001.6.jpg")</f>
        <v>..\..\Imagery\ScannedPhotos\1981\CG81-001.6.jpg</v>
      </c>
    </row>
    <row r="404" spans="1:13" x14ac:dyDescent="0.25">
      <c r="A404" t="s">
        <v>1184</v>
      </c>
      <c r="B404">
        <v>498017</v>
      </c>
      <c r="C404">
        <v>5950628</v>
      </c>
      <c r="D404">
        <v>21</v>
      </c>
      <c r="E404" t="s">
        <v>15</v>
      </c>
      <c r="F404" t="s">
        <v>1196</v>
      </c>
      <c r="G404">
        <v>26</v>
      </c>
      <c r="H404" t="s">
        <v>1197</v>
      </c>
      <c r="I404" t="s">
        <v>30</v>
      </c>
      <c r="J404" t="s">
        <v>48</v>
      </c>
      <c r="K404" t="s">
        <v>535</v>
      </c>
      <c r="L404" t="s">
        <v>1198</v>
      </c>
      <c r="M404" s="3" t="str">
        <f>HYPERLINK("..\..\Imagery\ScannedPhotos\1981\CG81-001.20.jpg")</f>
        <v>..\..\Imagery\ScannedPhotos\1981\CG81-001.20.jpg</v>
      </c>
    </row>
    <row r="405" spans="1:13" x14ac:dyDescent="0.25">
      <c r="A405" t="s">
        <v>1184</v>
      </c>
      <c r="B405">
        <v>498017</v>
      </c>
      <c r="C405">
        <v>5950628</v>
      </c>
      <c r="D405">
        <v>21</v>
      </c>
      <c r="E405" t="s">
        <v>15</v>
      </c>
      <c r="F405" t="s">
        <v>1199</v>
      </c>
      <c r="G405">
        <v>26</v>
      </c>
      <c r="H405" t="s">
        <v>1197</v>
      </c>
      <c r="I405" t="s">
        <v>126</v>
      </c>
      <c r="J405" t="s">
        <v>48</v>
      </c>
      <c r="K405" t="s">
        <v>535</v>
      </c>
      <c r="L405" t="s">
        <v>1200</v>
      </c>
      <c r="M405" s="3" t="str">
        <f>HYPERLINK("..\..\Imagery\ScannedPhotos\1981\CG81-001.24.jpg")</f>
        <v>..\..\Imagery\ScannedPhotos\1981\CG81-001.24.jpg</v>
      </c>
    </row>
    <row r="406" spans="1:13" x14ac:dyDescent="0.25">
      <c r="A406" t="s">
        <v>1184</v>
      </c>
      <c r="B406">
        <v>498017</v>
      </c>
      <c r="C406">
        <v>5950628</v>
      </c>
      <c r="D406">
        <v>21</v>
      </c>
      <c r="E406" t="s">
        <v>15</v>
      </c>
      <c r="F406" t="s">
        <v>1201</v>
      </c>
      <c r="G406">
        <v>26</v>
      </c>
      <c r="H406" t="s">
        <v>1197</v>
      </c>
      <c r="I406" t="s">
        <v>122</v>
      </c>
      <c r="J406" t="s">
        <v>48</v>
      </c>
      <c r="K406" t="s">
        <v>535</v>
      </c>
      <c r="L406" t="s">
        <v>1202</v>
      </c>
      <c r="M406" s="3" t="str">
        <f>HYPERLINK("..\..\Imagery\ScannedPhotos\1981\CG81-001.23.jpg")</f>
        <v>..\..\Imagery\ScannedPhotos\1981\CG81-001.23.jpg</v>
      </c>
    </row>
    <row r="407" spans="1:13" x14ac:dyDescent="0.25">
      <c r="A407" t="s">
        <v>1184</v>
      </c>
      <c r="B407">
        <v>498017</v>
      </c>
      <c r="C407">
        <v>5950628</v>
      </c>
      <c r="D407">
        <v>21</v>
      </c>
      <c r="E407" t="s">
        <v>15</v>
      </c>
      <c r="F407" t="s">
        <v>1203</v>
      </c>
      <c r="G407">
        <v>26</v>
      </c>
      <c r="H407" t="s">
        <v>1197</v>
      </c>
      <c r="I407" t="s">
        <v>119</v>
      </c>
      <c r="J407" t="s">
        <v>48</v>
      </c>
      <c r="K407" t="s">
        <v>535</v>
      </c>
      <c r="L407" t="s">
        <v>1204</v>
      </c>
      <c r="M407" s="3" t="str">
        <f>HYPERLINK("..\..\Imagery\ScannedPhotos\1981\CG81-001.22.jpg")</f>
        <v>..\..\Imagery\ScannedPhotos\1981\CG81-001.22.jpg</v>
      </c>
    </row>
    <row r="408" spans="1:13" x14ac:dyDescent="0.25">
      <c r="A408" t="s">
        <v>1205</v>
      </c>
      <c r="B408">
        <v>412070</v>
      </c>
      <c r="C408">
        <v>6078275</v>
      </c>
      <c r="D408">
        <v>21</v>
      </c>
      <c r="E408" t="s">
        <v>15</v>
      </c>
      <c r="F408" t="s">
        <v>1206</v>
      </c>
      <c r="G408">
        <v>2</v>
      </c>
      <c r="H408" t="s">
        <v>1207</v>
      </c>
      <c r="I408" t="s">
        <v>222</v>
      </c>
      <c r="J408" t="s">
        <v>1208</v>
      </c>
      <c r="K408" t="s">
        <v>20</v>
      </c>
      <c r="L408" t="s">
        <v>1209</v>
      </c>
      <c r="M408" s="3" t="str">
        <f>HYPERLINK("..\..\Imagery\ScannedPhotos\1979\CG79-074.2.jpg")</f>
        <v>..\..\Imagery\ScannedPhotos\1979\CG79-074.2.jpg</v>
      </c>
    </row>
    <row r="409" spans="1:13" x14ac:dyDescent="0.25">
      <c r="A409" t="s">
        <v>1210</v>
      </c>
      <c r="B409">
        <v>554535</v>
      </c>
      <c r="C409">
        <v>5820855</v>
      </c>
      <c r="D409">
        <v>21</v>
      </c>
      <c r="E409" t="s">
        <v>15</v>
      </c>
      <c r="F409" t="s">
        <v>1211</v>
      </c>
      <c r="G409">
        <v>2</v>
      </c>
      <c r="H409" t="s">
        <v>1212</v>
      </c>
      <c r="I409" t="s">
        <v>74</v>
      </c>
      <c r="J409" t="s">
        <v>100</v>
      </c>
      <c r="K409" t="s">
        <v>20</v>
      </c>
      <c r="L409" t="s">
        <v>1213</v>
      </c>
      <c r="M409" s="3" t="str">
        <f>HYPERLINK("..\..\Imagery\ScannedPhotos\1986\JS86-010.1.jpg")</f>
        <v>..\..\Imagery\ScannedPhotos\1986\JS86-010.1.jpg</v>
      </c>
    </row>
    <row r="410" spans="1:13" x14ac:dyDescent="0.25">
      <c r="A410" t="s">
        <v>1210</v>
      </c>
      <c r="B410">
        <v>554535</v>
      </c>
      <c r="C410">
        <v>5820855</v>
      </c>
      <c r="D410">
        <v>21</v>
      </c>
      <c r="E410" t="s">
        <v>15</v>
      </c>
      <c r="F410" t="s">
        <v>1214</v>
      </c>
      <c r="G410">
        <v>2</v>
      </c>
      <c r="H410" t="s">
        <v>1212</v>
      </c>
      <c r="I410" t="s">
        <v>41</v>
      </c>
      <c r="J410" t="s">
        <v>100</v>
      </c>
      <c r="K410" t="s">
        <v>20</v>
      </c>
      <c r="L410" t="s">
        <v>1213</v>
      </c>
      <c r="M410" s="3" t="str">
        <f>HYPERLINK("..\..\Imagery\ScannedPhotos\1986\JS86-010.2.jpg")</f>
        <v>..\..\Imagery\ScannedPhotos\1986\JS86-010.2.jpg</v>
      </c>
    </row>
    <row r="411" spans="1:13" x14ac:dyDescent="0.25">
      <c r="A411" t="s">
        <v>1215</v>
      </c>
      <c r="B411">
        <v>535283</v>
      </c>
      <c r="C411">
        <v>5818685</v>
      </c>
      <c r="D411">
        <v>21</v>
      </c>
      <c r="E411" t="s">
        <v>15</v>
      </c>
      <c r="F411" t="s">
        <v>1216</v>
      </c>
      <c r="G411">
        <v>1</v>
      </c>
      <c r="H411" t="s">
        <v>1212</v>
      </c>
      <c r="I411" t="s">
        <v>85</v>
      </c>
      <c r="J411" t="s">
        <v>100</v>
      </c>
      <c r="K411" t="s">
        <v>56</v>
      </c>
      <c r="L411" t="s">
        <v>1020</v>
      </c>
      <c r="M411" s="3" t="str">
        <f>HYPERLINK("..\..\Imagery\ScannedPhotos\1986\JS86-016.jpg")</f>
        <v>..\..\Imagery\ScannedPhotos\1986\JS86-016.jpg</v>
      </c>
    </row>
    <row r="412" spans="1:13" x14ac:dyDescent="0.25">
      <c r="A412" t="s">
        <v>1217</v>
      </c>
      <c r="B412">
        <v>588086</v>
      </c>
      <c r="C412">
        <v>5788443</v>
      </c>
      <c r="D412">
        <v>21</v>
      </c>
      <c r="E412" t="s">
        <v>15</v>
      </c>
      <c r="F412" t="s">
        <v>1218</v>
      </c>
      <c r="G412">
        <v>1</v>
      </c>
      <c r="H412" t="s">
        <v>1051</v>
      </c>
      <c r="I412" t="s">
        <v>137</v>
      </c>
      <c r="J412" t="s">
        <v>1052</v>
      </c>
      <c r="K412" t="s">
        <v>20</v>
      </c>
      <c r="L412" t="s">
        <v>1219</v>
      </c>
      <c r="M412" s="3" t="str">
        <f>HYPERLINK("..\..\Imagery\ScannedPhotos\1987\VN87-446.jpg")</f>
        <v>..\..\Imagery\ScannedPhotos\1987\VN87-446.jpg</v>
      </c>
    </row>
    <row r="413" spans="1:13" x14ac:dyDescent="0.25">
      <c r="A413" t="s">
        <v>1220</v>
      </c>
      <c r="B413">
        <v>588286</v>
      </c>
      <c r="C413">
        <v>5788706</v>
      </c>
      <c r="D413">
        <v>21</v>
      </c>
      <c r="E413" t="s">
        <v>15</v>
      </c>
      <c r="F413" t="s">
        <v>1221</v>
      </c>
      <c r="G413">
        <v>2</v>
      </c>
      <c r="H413" t="s">
        <v>1051</v>
      </c>
      <c r="I413" t="s">
        <v>18</v>
      </c>
      <c r="J413" t="s">
        <v>1052</v>
      </c>
      <c r="K413" t="s">
        <v>20</v>
      </c>
      <c r="L413" t="s">
        <v>1222</v>
      </c>
      <c r="M413" s="3" t="str">
        <f>HYPERLINK("..\..\Imagery\ScannedPhotos\1987\VN87-447.1.jpg")</f>
        <v>..\..\Imagery\ScannedPhotos\1987\VN87-447.1.jpg</v>
      </c>
    </row>
    <row r="414" spans="1:13" x14ac:dyDescent="0.25">
      <c r="A414" t="s">
        <v>1223</v>
      </c>
      <c r="B414">
        <v>587934</v>
      </c>
      <c r="C414">
        <v>5789167</v>
      </c>
      <c r="D414">
        <v>21</v>
      </c>
      <c r="E414" t="s">
        <v>15</v>
      </c>
      <c r="F414" t="s">
        <v>1224</v>
      </c>
      <c r="G414">
        <v>1</v>
      </c>
      <c r="H414" t="s">
        <v>1051</v>
      </c>
      <c r="I414" t="s">
        <v>69</v>
      </c>
      <c r="J414" t="s">
        <v>1052</v>
      </c>
      <c r="K414" t="s">
        <v>20</v>
      </c>
      <c r="L414" t="s">
        <v>1225</v>
      </c>
      <c r="M414" s="3" t="str">
        <f>HYPERLINK("..\..\Imagery\ScannedPhotos\1987\VN87-448.jpg")</f>
        <v>..\..\Imagery\ScannedPhotos\1987\VN87-448.jpg</v>
      </c>
    </row>
    <row r="415" spans="1:13" x14ac:dyDescent="0.25">
      <c r="A415" t="s">
        <v>1226</v>
      </c>
      <c r="B415">
        <v>587320</v>
      </c>
      <c r="C415">
        <v>5789489</v>
      </c>
      <c r="D415">
        <v>21</v>
      </c>
      <c r="E415" t="s">
        <v>15</v>
      </c>
      <c r="F415" t="s">
        <v>1227</v>
      </c>
      <c r="G415">
        <v>2</v>
      </c>
      <c r="H415" t="s">
        <v>1051</v>
      </c>
      <c r="I415" t="s">
        <v>222</v>
      </c>
      <c r="J415" t="s">
        <v>1052</v>
      </c>
      <c r="K415" t="s">
        <v>20</v>
      </c>
      <c r="L415" t="s">
        <v>1228</v>
      </c>
      <c r="M415" s="3" t="str">
        <f>HYPERLINK("..\..\Imagery\ScannedPhotos\1987\VN87-449.1.jpg")</f>
        <v>..\..\Imagery\ScannedPhotos\1987\VN87-449.1.jpg</v>
      </c>
    </row>
    <row r="416" spans="1:13" x14ac:dyDescent="0.25">
      <c r="A416" t="s">
        <v>32</v>
      </c>
      <c r="B416">
        <v>596446</v>
      </c>
      <c r="C416">
        <v>5792950</v>
      </c>
      <c r="D416">
        <v>21</v>
      </c>
      <c r="E416" t="s">
        <v>15</v>
      </c>
      <c r="F416" t="s">
        <v>1229</v>
      </c>
      <c r="G416">
        <v>40</v>
      </c>
      <c r="H416" t="s">
        <v>34</v>
      </c>
      <c r="I416" t="s">
        <v>79</v>
      </c>
      <c r="J416" t="s">
        <v>36</v>
      </c>
      <c r="K416" t="s">
        <v>20</v>
      </c>
      <c r="L416" t="s">
        <v>37</v>
      </c>
      <c r="M416" s="3" t="str">
        <f>HYPERLINK("..\..\Imagery\ScannedPhotos\1987\CG87-488.13.jpg")</f>
        <v>..\..\Imagery\ScannedPhotos\1987\CG87-488.13.jpg</v>
      </c>
    </row>
    <row r="417" spans="1:13" x14ac:dyDescent="0.25">
      <c r="A417" t="s">
        <v>1230</v>
      </c>
      <c r="B417">
        <v>522350</v>
      </c>
      <c r="C417">
        <v>5841646</v>
      </c>
      <c r="D417">
        <v>21</v>
      </c>
      <c r="E417" t="s">
        <v>15</v>
      </c>
      <c r="F417" t="s">
        <v>1231</v>
      </c>
      <c r="G417">
        <v>3</v>
      </c>
      <c r="H417" t="s">
        <v>1232</v>
      </c>
      <c r="I417" t="s">
        <v>108</v>
      </c>
      <c r="J417" t="s">
        <v>1233</v>
      </c>
      <c r="K417" t="s">
        <v>20</v>
      </c>
      <c r="L417" t="s">
        <v>1234</v>
      </c>
      <c r="M417" s="3" t="str">
        <f>HYPERLINK("..\..\Imagery\ScannedPhotos\1986\CG86-228.3.jpg")</f>
        <v>..\..\Imagery\ScannedPhotos\1986\CG86-228.3.jpg</v>
      </c>
    </row>
    <row r="418" spans="1:13" x14ac:dyDescent="0.25">
      <c r="A418" t="s">
        <v>1230</v>
      </c>
      <c r="B418">
        <v>522350</v>
      </c>
      <c r="C418">
        <v>5841646</v>
      </c>
      <c r="D418">
        <v>21</v>
      </c>
      <c r="E418" t="s">
        <v>15</v>
      </c>
      <c r="F418" t="s">
        <v>1235</v>
      </c>
      <c r="G418">
        <v>3</v>
      </c>
      <c r="H418" t="s">
        <v>1232</v>
      </c>
      <c r="I418" t="s">
        <v>126</v>
      </c>
      <c r="J418" t="s">
        <v>1233</v>
      </c>
      <c r="K418" t="s">
        <v>20</v>
      </c>
      <c r="L418" t="s">
        <v>1236</v>
      </c>
      <c r="M418" s="3" t="str">
        <f>HYPERLINK("..\..\Imagery\ScannedPhotos\1986\CG86-228.2.jpg")</f>
        <v>..\..\Imagery\ScannedPhotos\1986\CG86-228.2.jpg</v>
      </c>
    </row>
    <row r="419" spans="1:13" x14ac:dyDescent="0.25">
      <c r="A419" t="s">
        <v>1230</v>
      </c>
      <c r="B419">
        <v>522350</v>
      </c>
      <c r="C419">
        <v>5841646</v>
      </c>
      <c r="D419">
        <v>21</v>
      </c>
      <c r="E419" t="s">
        <v>15</v>
      </c>
      <c r="F419" t="s">
        <v>1237</v>
      </c>
      <c r="G419">
        <v>3</v>
      </c>
      <c r="H419" t="s">
        <v>1232</v>
      </c>
      <c r="I419" t="s">
        <v>122</v>
      </c>
      <c r="J419" t="s">
        <v>1233</v>
      </c>
      <c r="K419" t="s">
        <v>20</v>
      </c>
      <c r="L419" t="s">
        <v>1236</v>
      </c>
      <c r="M419" s="3" t="str">
        <f>HYPERLINK("..\..\Imagery\ScannedPhotos\1986\CG86-228.1.jpg")</f>
        <v>..\..\Imagery\ScannedPhotos\1986\CG86-228.1.jpg</v>
      </c>
    </row>
    <row r="420" spans="1:13" x14ac:dyDescent="0.25">
      <c r="A420" t="s">
        <v>1238</v>
      </c>
      <c r="B420">
        <v>555493</v>
      </c>
      <c r="C420">
        <v>5862037</v>
      </c>
      <c r="D420">
        <v>21</v>
      </c>
      <c r="E420" t="s">
        <v>15</v>
      </c>
      <c r="F420" t="s">
        <v>1239</v>
      </c>
      <c r="G420">
        <v>5</v>
      </c>
      <c r="H420" t="s">
        <v>1232</v>
      </c>
      <c r="I420" t="s">
        <v>47</v>
      </c>
      <c r="J420" t="s">
        <v>1233</v>
      </c>
      <c r="K420" t="s">
        <v>20</v>
      </c>
      <c r="L420" t="s">
        <v>1240</v>
      </c>
      <c r="M420" s="3" t="str">
        <f>HYPERLINK("..\..\Imagery\ScannedPhotos\1986\CG86-268.5.jpg")</f>
        <v>..\..\Imagery\ScannedPhotos\1986\CG86-268.5.jpg</v>
      </c>
    </row>
    <row r="421" spans="1:13" x14ac:dyDescent="0.25">
      <c r="A421" t="s">
        <v>1238</v>
      </c>
      <c r="B421">
        <v>555493</v>
      </c>
      <c r="C421">
        <v>5862037</v>
      </c>
      <c r="D421">
        <v>21</v>
      </c>
      <c r="E421" t="s">
        <v>15</v>
      </c>
      <c r="F421" t="s">
        <v>1241</v>
      </c>
      <c r="G421">
        <v>5</v>
      </c>
      <c r="H421" t="s">
        <v>1232</v>
      </c>
      <c r="I421" t="s">
        <v>132</v>
      </c>
      <c r="J421" t="s">
        <v>1233</v>
      </c>
      <c r="K421" t="s">
        <v>56</v>
      </c>
      <c r="L421" t="s">
        <v>1242</v>
      </c>
      <c r="M421" s="3" t="str">
        <f>HYPERLINK("..\..\Imagery\ScannedPhotos\1986\CG86-268.1.jpg")</f>
        <v>..\..\Imagery\ScannedPhotos\1986\CG86-268.1.jpg</v>
      </c>
    </row>
    <row r="422" spans="1:13" x14ac:dyDescent="0.25">
      <c r="A422" t="s">
        <v>1238</v>
      </c>
      <c r="B422">
        <v>555493</v>
      </c>
      <c r="C422">
        <v>5862037</v>
      </c>
      <c r="D422">
        <v>21</v>
      </c>
      <c r="E422" t="s">
        <v>15</v>
      </c>
      <c r="F422" t="s">
        <v>1243</v>
      </c>
      <c r="G422">
        <v>5</v>
      </c>
      <c r="H422" t="s">
        <v>1232</v>
      </c>
      <c r="I422" t="s">
        <v>143</v>
      </c>
      <c r="J422" t="s">
        <v>1233</v>
      </c>
      <c r="K422" t="s">
        <v>20</v>
      </c>
      <c r="L422" t="s">
        <v>1244</v>
      </c>
      <c r="M422" s="3" t="str">
        <f>HYPERLINK("..\..\Imagery\ScannedPhotos\1986\CG86-268.3.jpg")</f>
        <v>..\..\Imagery\ScannedPhotos\1986\CG86-268.3.jpg</v>
      </c>
    </row>
    <row r="423" spans="1:13" x14ac:dyDescent="0.25">
      <c r="A423" t="s">
        <v>1238</v>
      </c>
      <c r="B423">
        <v>555493</v>
      </c>
      <c r="C423">
        <v>5862037</v>
      </c>
      <c r="D423">
        <v>21</v>
      </c>
      <c r="E423" t="s">
        <v>15</v>
      </c>
      <c r="F423" t="s">
        <v>1245</v>
      </c>
      <c r="G423">
        <v>5</v>
      </c>
      <c r="H423" t="s">
        <v>1232</v>
      </c>
      <c r="I423" t="s">
        <v>147</v>
      </c>
      <c r="J423" t="s">
        <v>1233</v>
      </c>
      <c r="K423" t="s">
        <v>20</v>
      </c>
      <c r="L423" t="s">
        <v>1244</v>
      </c>
      <c r="M423" s="3" t="str">
        <f>HYPERLINK("..\..\Imagery\ScannedPhotos\1986\CG86-268.4.jpg")</f>
        <v>..\..\Imagery\ScannedPhotos\1986\CG86-268.4.jpg</v>
      </c>
    </row>
    <row r="424" spans="1:13" x14ac:dyDescent="0.25">
      <c r="A424" t="s">
        <v>1246</v>
      </c>
      <c r="B424">
        <v>518623</v>
      </c>
      <c r="C424">
        <v>5840280</v>
      </c>
      <c r="D424">
        <v>21</v>
      </c>
      <c r="E424" t="s">
        <v>15</v>
      </c>
      <c r="F424" t="s">
        <v>1247</v>
      </c>
      <c r="G424">
        <v>2</v>
      </c>
      <c r="H424" t="s">
        <v>1232</v>
      </c>
      <c r="I424" t="s">
        <v>65</v>
      </c>
      <c r="J424" t="s">
        <v>1233</v>
      </c>
      <c r="K424" t="s">
        <v>56</v>
      </c>
      <c r="L424" t="s">
        <v>1248</v>
      </c>
      <c r="M424" s="3" t="str">
        <f>HYPERLINK("..\..\Imagery\ScannedPhotos\1986\CG86-310.1.jpg")</f>
        <v>..\..\Imagery\ScannedPhotos\1986\CG86-310.1.jpg</v>
      </c>
    </row>
    <row r="425" spans="1:13" x14ac:dyDescent="0.25">
      <c r="A425" t="s">
        <v>1249</v>
      </c>
      <c r="B425">
        <v>420328</v>
      </c>
      <c r="C425">
        <v>5886484</v>
      </c>
      <c r="D425">
        <v>21</v>
      </c>
      <c r="E425" t="s">
        <v>15</v>
      </c>
      <c r="F425" t="s">
        <v>1250</v>
      </c>
      <c r="G425">
        <v>1</v>
      </c>
      <c r="H425" t="s">
        <v>1251</v>
      </c>
      <c r="I425" t="s">
        <v>195</v>
      </c>
      <c r="J425" t="s">
        <v>563</v>
      </c>
      <c r="K425" t="s">
        <v>20</v>
      </c>
      <c r="L425" t="s">
        <v>1252</v>
      </c>
      <c r="M425" s="3" t="str">
        <f>HYPERLINK("..\..\Imagery\ScannedPhotos\1995\VN95-025.jpg")</f>
        <v>..\..\Imagery\ScannedPhotos\1995\VN95-025.jpg</v>
      </c>
    </row>
    <row r="426" spans="1:13" x14ac:dyDescent="0.25">
      <c r="A426" t="s">
        <v>1253</v>
      </c>
      <c r="B426">
        <v>420407</v>
      </c>
      <c r="C426">
        <v>5885896</v>
      </c>
      <c r="D426">
        <v>21</v>
      </c>
      <c r="E426" t="s">
        <v>15</v>
      </c>
      <c r="F426" t="s">
        <v>1254</v>
      </c>
      <c r="G426">
        <v>1</v>
      </c>
      <c r="H426" t="s">
        <v>1251</v>
      </c>
      <c r="I426" t="s">
        <v>25</v>
      </c>
      <c r="J426" t="s">
        <v>563</v>
      </c>
      <c r="K426" t="s">
        <v>56</v>
      </c>
      <c r="L426" t="s">
        <v>1255</v>
      </c>
      <c r="M426" s="3" t="str">
        <f>HYPERLINK("..\..\Imagery\ScannedPhotos\1995\VN95-026.jpg")</f>
        <v>..\..\Imagery\ScannedPhotos\1995\VN95-026.jpg</v>
      </c>
    </row>
    <row r="427" spans="1:13" x14ac:dyDescent="0.25">
      <c r="A427" t="s">
        <v>1256</v>
      </c>
      <c r="B427">
        <v>419225</v>
      </c>
      <c r="C427">
        <v>5882518</v>
      </c>
      <c r="D427">
        <v>21</v>
      </c>
      <c r="E427" t="s">
        <v>15</v>
      </c>
      <c r="F427" t="s">
        <v>1257</v>
      </c>
      <c r="G427">
        <v>1</v>
      </c>
      <c r="H427" t="s">
        <v>1251</v>
      </c>
      <c r="I427" t="s">
        <v>360</v>
      </c>
      <c r="J427" t="s">
        <v>563</v>
      </c>
      <c r="K427" t="s">
        <v>20</v>
      </c>
      <c r="L427" t="s">
        <v>1258</v>
      </c>
      <c r="M427" s="3" t="str">
        <f>HYPERLINK("..\..\Imagery\ScannedPhotos\1995\VN95-033.jpg")</f>
        <v>..\..\Imagery\ScannedPhotos\1995\VN95-033.jpg</v>
      </c>
    </row>
    <row r="428" spans="1:13" x14ac:dyDescent="0.25">
      <c r="A428" t="s">
        <v>1259</v>
      </c>
      <c r="B428">
        <v>421905</v>
      </c>
      <c r="C428">
        <v>5896524</v>
      </c>
      <c r="D428">
        <v>21</v>
      </c>
      <c r="E428" t="s">
        <v>15</v>
      </c>
      <c r="F428" t="s">
        <v>1260</v>
      </c>
      <c r="G428">
        <v>4</v>
      </c>
      <c r="H428" t="s">
        <v>1251</v>
      </c>
      <c r="I428" t="s">
        <v>647</v>
      </c>
      <c r="J428" t="s">
        <v>563</v>
      </c>
      <c r="K428" t="s">
        <v>20</v>
      </c>
      <c r="L428" t="s">
        <v>1261</v>
      </c>
      <c r="M428" s="3" t="str">
        <f>HYPERLINK("..\..\Imagery\ScannedPhotos\1995\VN95-040.1.jpg")</f>
        <v>..\..\Imagery\ScannedPhotos\1995\VN95-040.1.jpg</v>
      </c>
    </row>
    <row r="429" spans="1:13" x14ac:dyDescent="0.25">
      <c r="A429" t="s">
        <v>1259</v>
      </c>
      <c r="B429">
        <v>421905</v>
      </c>
      <c r="C429">
        <v>5896524</v>
      </c>
      <c r="D429">
        <v>21</v>
      </c>
      <c r="E429" t="s">
        <v>15</v>
      </c>
      <c r="F429" t="s">
        <v>1262</v>
      </c>
      <c r="G429">
        <v>4</v>
      </c>
      <c r="H429" t="s">
        <v>1251</v>
      </c>
      <c r="I429" t="s">
        <v>30</v>
      </c>
      <c r="J429" t="s">
        <v>563</v>
      </c>
      <c r="K429" t="s">
        <v>20</v>
      </c>
      <c r="L429" t="s">
        <v>1263</v>
      </c>
      <c r="M429" s="3" t="str">
        <f>HYPERLINK("..\..\Imagery\ScannedPhotos\1995\VN95-040.2.jpg")</f>
        <v>..\..\Imagery\ScannedPhotos\1995\VN95-040.2.jpg</v>
      </c>
    </row>
    <row r="430" spans="1:13" x14ac:dyDescent="0.25">
      <c r="A430" t="s">
        <v>1259</v>
      </c>
      <c r="B430">
        <v>421905</v>
      </c>
      <c r="C430">
        <v>5896524</v>
      </c>
      <c r="D430">
        <v>21</v>
      </c>
      <c r="E430" t="s">
        <v>15</v>
      </c>
      <c r="F430" t="s">
        <v>1264</v>
      </c>
      <c r="G430">
        <v>4</v>
      </c>
      <c r="H430" t="s">
        <v>1251</v>
      </c>
      <c r="I430" t="s">
        <v>114</v>
      </c>
      <c r="J430" t="s">
        <v>563</v>
      </c>
      <c r="K430" t="s">
        <v>20</v>
      </c>
      <c r="L430" t="s">
        <v>1265</v>
      </c>
      <c r="M430" s="3" t="str">
        <f>HYPERLINK("..\..\Imagery\ScannedPhotos\1995\VN95-040.3.jpg")</f>
        <v>..\..\Imagery\ScannedPhotos\1995\VN95-040.3.jpg</v>
      </c>
    </row>
    <row r="431" spans="1:13" x14ac:dyDescent="0.25">
      <c r="A431" t="s">
        <v>1259</v>
      </c>
      <c r="B431">
        <v>421905</v>
      </c>
      <c r="C431">
        <v>5896524</v>
      </c>
      <c r="D431">
        <v>21</v>
      </c>
      <c r="E431" t="s">
        <v>15</v>
      </c>
      <c r="F431" t="s">
        <v>1266</v>
      </c>
      <c r="G431">
        <v>4</v>
      </c>
      <c r="H431" t="s">
        <v>1251</v>
      </c>
      <c r="I431" t="s">
        <v>119</v>
      </c>
      <c r="J431" t="s">
        <v>563</v>
      </c>
      <c r="K431" t="s">
        <v>20</v>
      </c>
      <c r="L431" t="s">
        <v>1267</v>
      </c>
      <c r="M431" s="3" t="str">
        <f>HYPERLINK("..\..\Imagery\ScannedPhotos\1995\VN95-040.4.jpg")</f>
        <v>..\..\Imagery\ScannedPhotos\1995\VN95-040.4.jpg</v>
      </c>
    </row>
    <row r="432" spans="1:13" x14ac:dyDescent="0.25">
      <c r="A432" t="s">
        <v>1268</v>
      </c>
      <c r="B432">
        <v>422390</v>
      </c>
      <c r="C432">
        <v>5896695</v>
      </c>
      <c r="D432">
        <v>21</v>
      </c>
      <c r="E432" t="s">
        <v>15</v>
      </c>
      <c r="F432" t="s">
        <v>1269</v>
      </c>
      <c r="G432">
        <v>2</v>
      </c>
      <c r="H432" t="s">
        <v>1251</v>
      </c>
      <c r="I432" t="s">
        <v>122</v>
      </c>
      <c r="J432" t="s">
        <v>563</v>
      </c>
      <c r="K432" t="s">
        <v>20</v>
      </c>
      <c r="L432" t="s">
        <v>1270</v>
      </c>
      <c r="M432" s="3" t="str">
        <f>HYPERLINK("..\..\Imagery\ScannedPhotos\1995\VN95-041.1.jpg")</f>
        <v>..\..\Imagery\ScannedPhotos\1995\VN95-041.1.jpg</v>
      </c>
    </row>
    <row r="433" spans="1:13" x14ac:dyDescent="0.25">
      <c r="A433" t="s">
        <v>1268</v>
      </c>
      <c r="B433">
        <v>422390</v>
      </c>
      <c r="C433">
        <v>5896695</v>
      </c>
      <c r="D433">
        <v>21</v>
      </c>
      <c r="E433" t="s">
        <v>15</v>
      </c>
      <c r="F433" t="s">
        <v>1271</v>
      </c>
      <c r="G433">
        <v>2</v>
      </c>
      <c r="H433" t="s">
        <v>1251</v>
      </c>
      <c r="I433" t="s">
        <v>126</v>
      </c>
      <c r="J433" t="s">
        <v>563</v>
      </c>
      <c r="K433" t="s">
        <v>20</v>
      </c>
      <c r="L433" t="s">
        <v>1272</v>
      </c>
      <c r="M433" s="3" t="str">
        <f>HYPERLINK("..\..\Imagery\ScannedPhotos\1995\VN95-041.2.jpg")</f>
        <v>..\..\Imagery\ScannedPhotos\1995\VN95-041.2.jpg</v>
      </c>
    </row>
    <row r="434" spans="1:13" x14ac:dyDescent="0.25">
      <c r="A434" t="s">
        <v>1273</v>
      </c>
      <c r="B434">
        <v>423304</v>
      </c>
      <c r="C434">
        <v>5896958</v>
      </c>
      <c r="D434">
        <v>21</v>
      </c>
      <c r="E434" t="s">
        <v>15</v>
      </c>
      <c r="F434" t="s">
        <v>1274</v>
      </c>
      <c r="G434">
        <v>3</v>
      </c>
      <c r="H434" t="s">
        <v>1251</v>
      </c>
      <c r="I434" t="s">
        <v>129</v>
      </c>
      <c r="J434" t="s">
        <v>563</v>
      </c>
      <c r="K434" t="s">
        <v>56</v>
      </c>
      <c r="L434" t="s">
        <v>1275</v>
      </c>
      <c r="M434" s="3" t="str">
        <f>HYPERLINK("..\..\Imagery\ScannedPhotos\1995\VN95-043.3.jpg")</f>
        <v>..\..\Imagery\ScannedPhotos\1995\VN95-043.3.jpg</v>
      </c>
    </row>
    <row r="435" spans="1:13" x14ac:dyDescent="0.25">
      <c r="A435" t="s">
        <v>1273</v>
      </c>
      <c r="B435">
        <v>423304</v>
      </c>
      <c r="C435">
        <v>5896958</v>
      </c>
      <c r="D435">
        <v>21</v>
      </c>
      <c r="E435" t="s">
        <v>15</v>
      </c>
      <c r="F435" t="s">
        <v>1276</v>
      </c>
      <c r="G435">
        <v>3</v>
      </c>
      <c r="H435" t="s">
        <v>1251</v>
      </c>
      <c r="I435" t="s">
        <v>108</v>
      </c>
      <c r="J435" t="s">
        <v>563</v>
      </c>
      <c r="K435" t="s">
        <v>56</v>
      </c>
      <c r="L435" t="s">
        <v>1275</v>
      </c>
      <c r="M435" s="3" t="str">
        <f>HYPERLINK("..\..\Imagery\ScannedPhotos\1995\VN95-043.1.jpg")</f>
        <v>..\..\Imagery\ScannedPhotos\1995\VN95-043.1.jpg</v>
      </c>
    </row>
    <row r="436" spans="1:13" x14ac:dyDescent="0.25">
      <c r="A436" t="s">
        <v>1273</v>
      </c>
      <c r="B436">
        <v>423304</v>
      </c>
      <c r="C436">
        <v>5896958</v>
      </c>
      <c r="D436">
        <v>21</v>
      </c>
      <c r="E436" t="s">
        <v>15</v>
      </c>
      <c r="F436" t="s">
        <v>1277</v>
      </c>
      <c r="G436">
        <v>3</v>
      </c>
      <c r="H436" t="s">
        <v>1251</v>
      </c>
      <c r="I436" t="s">
        <v>132</v>
      </c>
      <c r="J436" t="s">
        <v>563</v>
      </c>
      <c r="K436" t="s">
        <v>56</v>
      </c>
      <c r="L436" t="s">
        <v>1275</v>
      </c>
      <c r="M436" s="3" t="str">
        <f>HYPERLINK("..\..\Imagery\ScannedPhotos\1995\VN95-043.2.jpg")</f>
        <v>..\..\Imagery\ScannedPhotos\1995\VN95-043.2.jpg</v>
      </c>
    </row>
    <row r="437" spans="1:13" x14ac:dyDescent="0.25">
      <c r="A437" t="s">
        <v>1278</v>
      </c>
      <c r="B437">
        <v>406987</v>
      </c>
      <c r="C437">
        <v>5900955</v>
      </c>
      <c r="D437">
        <v>21</v>
      </c>
      <c r="E437" t="s">
        <v>15</v>
      </c>
      <c r="F437" t="s">
        <v>1279</v>
      </c>
      <c r="G437">
        <v>1</v>
      </c>
      <c r="H437" t="s">
        <v>1251</v>
      </c>
      <c r="I437" t="s">
        <v>143</v>
      </c>
      <c r="J437" t="s">
        <v>563</v>
      </c>
      <c r="K437" t="s">
        <v>20</v>
      </c>
      <c r="L437" t="s">
        <v>1280</v>
      </c>
      <c r="M437" s="3" t="str">
        <f>HYPERLINK("..\..\Imagery\ScannedPhotos\1995\VN95-052.jpg")</f>
        <v>..\..\Imagery\ScannedPhotos\1995\VN95-052.jpg</v>
      </c>
    </row>
    <row r="438" spans="1:13" x14ac:dyDescent="0.25">
      <c r="A438" t="s">
        <v>1281</v>
      </c>
      <c r="B438">
        <v>409793</v>
      </c>
      <c r="C438">
        <v>5901330</v>
      </c>
      <c r="D438">
        <v>21</v>
      </c>
      <c r="E438" t="s">
        <v>15</v>
      </c>
      <c r="F438" t="s">
        <v>1282</v>
      </c>
      <c r="G438">
        <v>1</v>
      </c>
      <c r="H438" t="s">
        <v>1251</v>
      </c>
      <c r="I438" t="s">
        <v>47</v>
      </c>
      <c r="J438" t="s">
        <v>563</v>
      </c>
      <c r="K438" t="s">
        <v>20</v>
      </c>
      <c r="L438" t="s">
        <v>1283</v>
      </c>
      <c r="M438" s="3" t="str">
        <f>HYPERLINK("..\..\Imagery\ScannedPhotos\1995\VN95-057.jpg")</f>
        <v>..\..\Imagery\ScannedPhotos\1995\VN95-057.jpg</v>
      </c>
    </row>
    <row r="439" spans="1:13" x14ac:dyDescent="0.25">
      <c r="A439" t="s">
        <v>346</v>
      </c>
      <c r="B439">
        <v>377721</v>
      </c>
      <c r="C439">
        <v>6103880</v>
      </c>
      <c r="D439">
        <v>21</v>
      </c>
      <c r="E439" t="s">
        <v>15</v>
      </c>
      <c r="F439" t="s">
        <v>1284</v>
      </c>
      <c r="G439">
        <v>5</v>
      </c>
      <c r="H439" t="s">
        <v>249</v>
      </c>
      <c r="I439" t="s">
        <v>79</v>
      </c>
      <c r="J439" t="s">
        <v>250</v>
      </c>
      <c r="K439" t="s">
        <v>20</v>
      </c>
      <c r="L439" t="s">
        <v>1285</v>
      </c>
      <c r="M439" s="3" t="str">
        <f>HYPERLINK("..\..\Imagery\ScannedPhotos\1979\AD79-024.1.jpg")</f>
        <v>..\..\Imagery\ScannedPhotos\1979\AD79-024.1.jpg</v>
      </c>
    </row>
    <row r="440" spans="1:13" x14ac:dyDescent="0.25">
      <c r="A440" t="s">
        <v>346</v>
      </c>
      <c r="B440">
        <v>377721</v>
      </c>
      <c r="C440">
        <v>6103880</v>
      </c>
      <c r="D440">
        <v>21</v>
      </c>
      <c r="E440" t="s">
        <v>15</v>
      </c>
      <c r="F440" t="s">
        <v>1286</v>
      </c>
      <c r="G440">
        <v>5</v>
      </c>
      <c r="H440" t="s">
        <v>249</v>
      </c>
      <c r="I440" t="s">
        <v>281</v>
      </c>
      <c r="J440" t="s">
        <v>250</v>
      </c>
      <c r="K440" t="s">
        <v>20</v>
      </c>
      <c r="L440" t="s">
        <v>1287</v>
      </c>
      <c r="M440" s="3" t="str">
        <f>HYPERLINK("..\..\Imagery\ScannedPhotos\1979\AD79-024.2.jpg")</f>
        <v>..\..\Imagery\ScannedPhotos\1979\AD79-024.2.jpg</v>
      </c>
    </row>
    <row r="441" spans="1:13" x14ac:dyDescent="0.25">
      <c r="A441" t="s">
        <v>1288</v>
      </c>
      <c r="B441">
        <v>586472</v>
      </c>
      <c r="C441">
        <v>5804627</v>
      </c>
      <c r="D441">
        <v>21</v>
      </c>
      <c r="E441" t="s">
        <v>15</v>
      </c>
      <c r="F441" t="s">
        <v>1289</v>
      </c>
      <c r="G441">
        <v>2</v>
      </c>
      <c r="K441" t="s">
        <v>56</v>
      </c>
      <c r="L441" t="s">
        <v>1290</v>
      </c>
      <c r="M441" s="3" t="str">
        <f>HYPERLINK("..\..\Imagery\ScannedPhotos\2003\CG03-299.1.jpg")</f>
        <v>..\..\Imagery\ScannedPhotos\2003\CG03-299.1.jpg</v>
      </c>
    </row>
    <row r="442" spans="1:13" x14ac:dyDescent="0.25">
      <c r="A442" t="s">
        <v>1288</v>
      </c>
      <c r="B442">
        <v>586472</v>
      </c>
      <c r="C442">
        <v>5804627</v>
      </c>
      <c r="D442">
        <v>21</v>
      </c>
      <c r="E442" t="s">
        <v>15</v>
      </c>
      <c r="F442" t="s">
        <v>1291</v>
      </c>
      <c r="G442">
        <v>2</v>
      </c>
      <c r="K442" t="s">
        <v>56</v>
      </c>
      <c r="L442" t="s">
        <v>1292</v>
      </c>
      <c r="M442" s="3" t="str">
        <f>HYPERLINK("..\..\Imagery\ScannedPhotos\2003\CG03-299.2.jpg")</f>
        <v>..\..\Imagery\ScannedPhotos\2003\CG03-299.2.jpg</v>
      </c>
    </row>
    <row r="443" spans="1:13" x14ac:dyDescent="0.25">
      <c r="A443" t="s">
        <v>1293</v>
      </c>
      <c r="B443">
        <v>587133</v>
      </c>
      <c r="C443">
        <v>5803791</v>
      </c>
      <c r="D443">
        <v>21</v>
      </c>
      <c r="E443" t="s">
        <v>15</v>
      </c>
      <c r="F443" t="s">
        <v>1294</v>
      </c>
      <c r="G443">
        <v>1</v>
      </c>
      <c r="K443" t="s">
        <v>20</v>
      </c>
      <c r="L443" t="s">
        <v>1295</v>
      </c>
      <c r="M443" s="3" t="str">
        <f>HYPERLINK("..\..\Imagery\ScannedPhotos\2003\CG03-303.jpg")</f>
        <v>..\..\Imagery\ScannedPhotos\2003\CG03-303.jpg</v>
      </c>
    </row>
    <row r="444" spans="1:13" x14ac:dyDescent="0.25">
      <c r="A444" t="s">
        <v>1296</v>
      </c>
      <c r="B444">
        <v>525598</v>
      </c>
      <c r="C444">
        <v>5808764</v>
      </c>
      <c r="D444">
        <v>21</v>
      </c>
      <c r="E444" t="s">
        <v>15</v>
      </c>
      <c r="F444" t="s">
        <v>1297</v>
      </c>
      <c r="G444">
        <v>1</v>
      </c>
      <c r="K444" t="s">
        <v>56</v>
      </c>
      <c r="L444" t="s">
        <v>1298</v>
      </c>
      <c r="M444" s="3" t="str">
        <f>HYPERLINK("..\..\Imagery\ScannedPhotos\2003\CG03-309.jpg")</f>
        <v>..\..\Imagery\ScannedPhotos\2003\CG03-309.jpg</v>
      </c>
    </row>
    <row r="445" spans="1:13" x14ac:dyDescent="0.25">
      <c r="A445" t="s">
        <v>1299</v>
      </c>
      <c r="B445">
        <v>532260</v>
      </c>
      <c r="C445">
        <v>5810786</v>
      </c>
      <c r="D445">
        <v>21</v>
      </c>
      <c r="E445" t="s">
        <v>15</v>
      </c>
      <c r="F445" t="s">
        <v>1300</v>
      </c>
      <c r="G445">
        <v>3</v>
      </c>
      <c r="K445" t="s">
        <v>56</v>
      </c>
      <c r="L445" t="s">
        <v>1301</v>
      </c>
      <c r="M445" s="3" t="str">
        <f>HYPERLINK("..\..\Imagery\ScannedPhotos\2003\CG03-323.1.jpg")</f>
        <v>..\..\Imagery\ScannedPhotos\2003\CG03-323.1.jpg</v>
      </c>
    </row>
    <row r="446" spans="1:13" x14ac:dyDescent="0.25">
      <c r="A446" t="s">
        <v>1302</v>
      </c>
      <c r="B446">
        <v>482525</v>
      </c>
      <c r="C446">
        <v>5823775</v>
      </c>
      <c r="D446">
        <v>21</v>
      </c>
      <c r="E446" t="s">
        <v>15</v>
      </c>
      <c r="F446" t="s">
        <v>1303</v>
      </c>
      <c r="G446">
        <v>3</v>
      </c>
      <c r="H446" t="s">
        <v>412</v>
      </c>
      <c r="I446" t="s">
        <v>195</v>
      </c>
      <c r="J446" t="s">
        <v>413</v>
      </c>
      <c r="K446" t="s">
        <v>56</v>
      </c>
      <c r="L446" t="s">
        <v>1304</v>
      </c>
      <c r="M446" s="3" t="str">
        <f>HYPERLINK("..\..\Imagery\ScannedPhotos\1991\DD91-094.3.jpg")</f>
        <v>..\..\Imagery\ScannedPhotos\1991\DD91-094.3.jpg</v>
      </c>
    </row>
    <row r="447" spans="1:13" x14ac:dyDescent="0.25">
      <c r="A447" t="s">
        <v>1305</v>
      </c>
      <c r="B447">
        <v>490236</v>
      </c>
      <c r="C447">
        <v>5976101</v>
      </c>
      <c r="D447">
        <v>21</v>
      </c>
      <c r="E447" t="s">
        <v>15</v>
      </c>
      <c r="F447" t="s">
        <v>1306</v>
      </c>
      <c r="G447">
        <v>3</v>
      </c>
      <c r="H447" t="s">
        <v>46</v>
      </c>
      <c r="I447" t="s">
        <v>41</v>
      </c>
      <c r="J447" t="s">
        <v>48</v>
      </c>
      <c r="K447" t="s">
        <v>20</v>
      </c>
      <c r="L447" t="s">
        <v>1307</v>
      </c>
      <c r="M447" s="3" t="str">
        <f>HYPERLINK("..\..\Imagery\ScannedPhotos\1981\GF81-015.1.jpg")</f>
        <v>..\..\Imagery\ScannedPhotos\1981\GF81-015.1.jpg</v>
      </c>
    </row>
    <row r="448" spans="1:13" x14ac:dyDescent="0.25">
      <c r="A448" t="s">
        <v>1305</v>
      </c>
      <c r="B448">
        <v>490236</v>
      </c>
      <c r="C448">
        <v>5976101</v>
      </c>
      <c r="D448">
        <v>21</v>
      </c>
      <c r="E448" t="s">
        <v>15</v>
      </c>
      <c r="F448" t="s">
        <v>1308</v>
      </c>
      <c r="G448">
        <v>3</v>
      </c>
      <c r="H448" t="s">
        <v>46</v>
      </c>
      <c r="I448" t="s">
        <v>375</v>
      </c>
      <c r="J448" t="s">
        <v>48</v>
      </c>
      <c r="K448" t="s">
        <v>20</v>
      </c>
      <c r="L448" t="s">
        <v>1307</v>
      </c>
      <c r="M448" s="3" t="str">
        <f>HYPERLINK("..\..\Imagery\ScannedPhotos\1981\GF81-015.3.jpg")</f>
        <v>..\..\Imagery\ScannedPhotos\1981\GF81-015.3.jpg</v>
      </c>
    </row>
    <row r="449" spans="1:13" x14ac:dyDescent="0.25">
      <c r="A449" t="s">
        <v>1305</v>
      </c>
      <c r="B449">
        <v>490236</v>
      </c>
      <c r="C449">
        <v>5976101</v>
      </c>
      <c r="D449">
        <v>21</v>
      </c>
      <c r="E449" t="s">
        <v>15</v>
      </c>
      <c r="F449" t="s">
        <v>1309</v>
      </c>
      <c r="G449">
        <v>3</v>
      </c>
      <c r="H449" t="s">
        <v>46</v>
      </c>
      <c r="I449" t="s">
        <v>85</v>
      </c>
      <c r="J449" t="s">
        <v>48</v>
      </c>
      <c r="K449" t="s">
        <v>20</v>
      </c>
      <c r="L449" t="s">
        <v>1307</v>
      </c>
      <c r="M449" s="3" t="str">
        <f>HYPERLINK("..\..\Imagery\ScannedPhotos\1981\GF81-015.2.jpg")</f>
        <v>..\..\Imagery\ScannedPhotos\1981\GF81-015.2.jpg</v>
      </c>
    </row>
    <row r="450" spans="1:13" x14ac:dyDescent="0.25">
      <c r="A450" t="s">
        <v>1310</v>
      </c>
      <c r="B450">
        <v>488343</v>
      </c>
      <c r="C450">
        <v>5976321</v>
      </c>
      <c r="D450">
        <v>21</v>
      </c>
      <c r="E450" t="s">
        <v>15</v>
      </c>
      <c r="F450" t="s">
        <v>1311</v>
      </c>
      <c r="G450">
        <v>1</v>
      </c>
      <c r="H450" t="s">
        <v>46</v>
      </c>
      <c r="I450" t="s">
        <v>386</v>
      </c>
      <c r="J450" t="s">
        <v>48</v>
      </c>
      <c r="K450" t="s">
        <v>20</v>
      </c>
      <c r="L450" t="s">
        <v>1312</v>
      </c>
      <c r="M450" s="3" t="str">
        <f>HYPERLINK("..\..\Imagery\ScannedPhotos\1981\GF81-019.jpg")</f>
        <v>..\..\Imagery\ScannedPhotos\1981\GF81-019.jpg</v>
      </c>
    </row>
    <row r="451" spans="1:13" x14ac:dyDescent="0.25">
      <c r="A451" t="s">
        <v>1039</v>
      </c>
      <c r="B451">
        <v>497507</v>
      </c>
      <c r="C451">
        <v>5819366</v>
      </c>
      <c r="D451">
        <v>21</v>
      </c>
      <c r="E451" t="s">
        <v>15</v>
      </c>
      <c r="F451" t="s">
        <v>1313</v>
      </c>
      <c r="G451">
        <v>8</v>
      </c>
      <c r="H451" t="s">
        <v>968</v>
      </c>
      <c r="I451" t="s">
        <v>126</v>
      </c>
      <c r="J451" t="s">
        <v>42</v>
      </c>
      <c r="K451" t="s">
        <v>20</v>
      </c>
      <c r="L451" t="s">
        <v>1041</v>
      </c>
      <c r="M451" s="3" t="str">
        <f>HYPERLINK("..\..\Imagery\ScannedPhotos\1991\VN91-020.1.jpg")</f>
        <v>..\..\Imagery\ScannedPhotos\1991\VN91-020.1.jpg</v>
      </c>
    </row>
    <row r="452" spans="1:13" x14ac:dyDescent="0.25">
      <c r="A452" t="s">
        <v>1314</v>
      </c>
      <c r="B452">
        <v>374204</v>
      </c>
      <c r="C452">
        <v>5977283</v>
      </c>
      <c r="D452">
        <v>21</v>
      </c>
      <c r="E452" t="s">
        <v>15</v>
      </c>
      <c r="F452" t="s">
        <v>1315</v>
      </c>
      <c r="G452">
        <v>2</v>
      </c>
      <c r="H452" t="s">
        <v>1316</v>
      </c>
      <c r="I452" t="s">
        <v>85</v>
      </c>
      <c r="J452" t="s">
        <v>978</v>
      </c>
      <c r="K452" t="s">
        <v>20</v>
      </c>
      <c r="L452" t="s">
        <v>1317</v>
      </c>
      <c r="M452" s="3" t="str">
        <f>HYPERLINK("..\..\Imagery\ScannedPhotos\1980\NN80-202.2.jpg")</f>
        <v>..\..\Imagery\ScannedPhotos\1980\NN80-202.2.jpg</v>
      </c>
    </row>
    <row r="453" spans="1:13" x14ac:dyDescent="0.25">
      <c r="A453" t="s">
        <v>1314</v>
      </c>
      <c r="B453">
        <v>374204</v>
      </c>
      <c r="C453">
        <v>5977283</v>
      </c>
      <c r="D453">
        <v>21</v>
      </c>
      <c r="E453" t="s">
        <v>15</v>
      </c>
      <c r="F453" t="s">
        <v>1318</v>
      </c>
      <c r="G453">
        <v>2</v>
      </c>
      <c r="H453" t="s">
        <v>1316</v>
      </c>
      <c r="I453" t="s">
        <v>41</v>
      </c>
      <c r="J453" t="s">
        <v>978</v>
      </c>
      <c r="K453" t="s">
        <v>20</v>
      </c>
      <c r="L453" t="s">
        <v>1317</v>
      </c>
      <c r="M453" s="3" t="str">
        <f>HYPERLINK("..\..\Imagery\ScannedPhotos\1980\NN80-202.1.jpg")</f>
        <v>..\..\Imagery\ScannedPhotos\1980\NN80-202.1.jpg</v>
      </c>
    </row>
    <row r="454" spans="1:13" x14ac:dyDescent="0.25">
      <c r="A454" t="s">
        <v>1319</v>
      </c>
      <c r="B454">
        <v>374662</v>
      </c>
      <c r="C454">
        <v>5977083</v>
      </c>
      <c r="D454">
        <v>21</v>
      </c>
      <c r="E454" t="s">
        <v>15</v>
      </c>
      <c r="F454" t="s">
        <v>1320</v>
      </c>
      <c r="G454">
        <v>1</v>
      </c>
      <c r="H454" t="s">
        <v>443</v>
      </c>
      <c r="I454" t="s">
        <v>137</v>
      </c>
      <c r="J454" t="s">
        <v>48</v>
      </c>
      <c r="K454" t="s">
        <v>228</v>
      </c>
      <c r="L454" t="s">
        <v>1321</v>
      </c>
      <c r="M454" s="3" t="str">
        <f>HYPERLINK("..\..\Imagery\ScannedPhotos\1980\NN80-203.5.jpg")</f>
        <v>..\..\Imagery\ScannedPhotos\1980\NN80-203.5.jpg</v>
      </c>
    </row>
    <row r="455" spans="1:13" x14ac:dyDescent="0.25">
      <c r="A455" t="s">
        <v>1319</v>
      </c>
      <c r="B455">
        <v>374662</v>
      </c>
      <c r="C455">
        <v>5977083</v>
      </c>
      <c r="D455">
        <v>21</v>
      </c>
      <c r="E455" t="s">
        <v>15</v>
      </c>
      <c r="F455" t="s">
        <v>1322</v>
      </c>
      <c r="G455">
        <v>1</v>
      </c>
      <c r="H455" t="s">
        <v>443</v>
      </c>
      <c r="I455" t="s">
        <v>281</v>
      </c>
      <c r="J455" t="s">
        <v>48</v>
      </c>
      <c r="K455" t="s">
        <v>228</v>
      </c>
      <c r="L455" t="s">
        <v>1323</v>
      </c>
      <c r="M455" s="3" t="str">
        <f>HYPERLINK("..\..\Imagery\ScannedPhotos\1980\NN80-203.4.jpg")</f>
        <v>..\..\Imagery\ScannedPhotos\1980\NN80-203.4.jpg</v>
      </c>
    </row>
    <row r="456" spans="1:13" x14ac:dyDescent="0.25">
      <c r="A456" t="s">
        <v>1324</v>
      </c>
      <c r="B456">
        <v>472809</v>
      </c>
      <c r="C456">
        <v>6003359</v>
      </c>
      <c r="D456">
        <v>21</v>
      </c>
      <c r="E456" t="s">
        <v>15</v>
      </c>
      <c r="F456" t="s">
        <v>1325</v>
      </c>
      <c r="G456">
        <v>2</v>
      </c>
      <c r="H456" t="s">
        <v>1326</v>
      </c>
      <c r="I456" t="s">
        <v>30</v>
      </c>
      <c r="J456" t="s">
        <v>95</v>
      </c>
      <c r="K456" t="s">
        <v>20</v>
      </c>
      <c r="L456" t="s">
        <v>1327</v>
      </c>
      <c r="M456" s="3" t="str">
        <f>HYPERLINK("..\..\Imagery\ScannedPhotos\1980\CG80-354.1.jpg")</f>
        <v>..\..\Imagery\ScannedPhotos\1980\CG80-354.1.jpg</v>
      </c>
    </row>
    <row r="457" spans="1:13" x14ac:dyDescent="0.25">
      <c r="A457" t="s">
        <v>1328</v>
      </c>
      <c r="B457">
        <v>476441</v>
      </c>
      <c r="C457">
        <v>6001439</v>
      </c>
      <c r="D457">
        <v>21</v>
      </c>
      <c r="E457" t="s">
        <v>15</v>
      </c>
      <c r="F457" t="s">
        <v>1329</v>
      </c>
      <c r="G457">
        <v>1</v>
      </c>
      <c r="H457" t="s">
        <v>1326</v>
      </c>
      <c r="I457" t="s">
        <v>119</v>
      </c>
      <c r="J457" t="s">
        <v>95</v>
      </c>
      <c r="K457" t="s">
        <v>20</v>
      </c>
      <c r="L457" t="s">
        <v>1330</v>
      </c>
      <c r="M457" s="3" t="str">
        <f>HYPERLINK("..\..\Imagery\ScannedPhotos\1980\CG80-387.jpg")</f>
        <v>..\..\Imagery\ScannedPhotos\1980\CG80-387.jpg</v>
      </c>
    </row>
    <row r="458" spans="1:13" x14ac:dyDescent="0.25">
      <c r="A458" t="s">
        <v>1331</v>
      </c>
      <c r="B458">
        <v>470798</v>
      </c>
      <c r="C458">
        <v>5908172</v>
      </c>
      <c r="D458">
        <v>21</v>
      </c>
      <c r="E458" t="s">
        <v>15</v>
      </c>
      <c r="F458" t="s">
        <v>1332</v>
      </c>
      <c r="G458">
        <v>1</v>
      </c>
      <c r="H458" t="s">
        <v>1333</v>
      </c>
      <c r="I458" t="s">
        <v>217</v>
      </c>
      <c r="J458" t="s">
        <v>1334</v>
      </c>
      <c r="K458" t="s">
        <v>56</v>
      </c>
      <c r="L458" t="s">
        <v>1335</v>
      </c>
      <c r="M458" s="3" t="str">
        <f>HYPERLINK("..\..\Imagery\ScannedPhotos\1984\CG84-144.jpg")</f>
        <v>..\..\Imagery\ScannedPhotos\1984\CG84-144.jpg</v>
      </c>
    </row>
    <row r="459" spans="1:13" x14ac:dyDescent="0.25">
      <c r="A459" t="s">
        <v>1336</v>
      </c>
      <c r="B459">
        <v>545893</v>
      </c>
      <c r="C459">
        <v>5733137</v>
      </c>
      <c r="D459">
        <v>21</v>
      </c>
      <c r="E459" t="s">
        <v>15</v>
      </c>
      <c r="F459" t="s">
        <v>1337</v>
      </c>
      <c r="G459">
        <v>3</v>
      </c>
      <c r="H459" t="s">
        <v>1338</v>
      </c>
      <c r="I459" t="s">
        <v>108</v>
      </c>
      <c r="J459" t="s">
        <v>570</v>
      </c>
      <c r="K459" t="s">
        <v>20</v>
      </c>
      <c r="L459" t="s">
        <v>1339</v>
      </c>
      <c r="M459" s="3" t="str">
        <f>HYPERLINK("..\..\Imagery\ScannedPhotos\1993\VN93-218.1.jpg")</f>
        <v>..\..\Imagery\ScannedPhotos\1993\VN93-218.1.jpg</v>
      </c>
    </row>
    <row r="460" spans="1:13" x14ac:dyDescent="0.25">
      <c r="A460" t="s">
        <v>1340</v>
      </c>
      <c r="B460">
        <v>410640</v>
      </c>
      <c r="C460">
        <v>6077958</v>
      </c>
      <c r="D460">
        <v>21</v>
      </c>
      <c r="E460" t="s">
        <v>15</v>
      </c>
      <c r="F460" t="s">
        <v>1341</v>
      </c>
      <c r="G460">
        <v>2</v>
      </c>
      <c r="H460" t="s">
        <v>1207</v>
      </c>
      <c r="I460" t="s">
        <v>386</v>
      </c>
      <c r="J460" t="s">
        <v>1208</v>
      </c>
      <c r="K460" t="s">
        <v>20</v>
      </c>
      <c r="L460" t="s">
        <v>1342</v>
      </c>
      <c r="M460" s="3" t="str">
        <f>HYPERLINK("..\..\Imagery\ScannedPhotos\1979\CG79-066.2.jpg")</f>
        <v>..\..\Imagery\ScannedPhotos\1979\CG79-066.2.jpg</v>
      </c>
    </row>
    <row r="461" spans="1:13" x14ac:dyDescent="0.25">
      <c r="A461" t="s">
        <v>1343</v>
      </c>
      <c r="B461">
        <v>470403</v>
      </c>
      <c r="C461">
        <v>5912175</v>
      </c>
      <c r="D461">
        <v>21</v>
      </c>
      <c r="E461" t="s">
        <v>15</v>
      </c>
      <c r="F461" t="s">
        <v>1344</v>
      </c>
      <c r="G461">
        <v>6</v>
      </c>
      <c r="K461" t="s">
        <v>56</v>
      </c>
      <c r="L461" t="s">
        <v>1345</v>
      </c>
      <c r="M461" s="3" t="str">
        <f>HYPERLINK("..\..\Imagery\ScannedPhotos\2004\CG04-209.2.jpg")</f>
        <v>..\..\Imagery\ScannedPhotos\2004\CG04-209.2.jpg</v>
      </c>
    </row>
    <row r="462" spans="1:13" x14ac:dyDescent="0.25">
      <c r="A462" t="s">
        <v>1343</v>
      </c>
      <c r="B462">
        <v>470403</v>
      </c>
      <c r="C462">
        <v>5912175</v>
      </c>
      <c r="D462">
        <v>21</v>
      </c>
      <c r="E462" t="s">
        <v>15</v>
      </c>
      <c r="F462" t="s">
        <v>1346</v>
      </c>
      <c r="G462">
        <v>6</v>
      </c>
      <c r="K462" t="s">
        <v>20</v>
      </c>
      <c r="L462" t="s">
        <v>965</v>
      </c>
      <c r="M462" s="3" t="str">
        <f>HYPERLINK("..\..\Imagery\ScannedPhotos\2004\CG04-209.3.jpg")</f>
        <v>..\..\Imagery\ScannedPhotos\2004\CG04-209.3.jpg</v>
      </c>
    </row>
    <row r="463" spans="1:13" x14ac:dyDescent="0.25">
      <c r="A463" t="s">
        <v>1343</v>
      </c>
      <c r="B463">
        <v>470403</v>
      </c>
      <c r="C463">
        <v>5912175</v>
      </c>
      <c r="D463">
        <v>21</v>
      </c>
      <c r="E463" t="s">
        <v>15</v>
      </c>
      <c r="F463" t="s">
        <v>1347</v>
      </c>
      <c r="G463">
        <v>6</v>
      </c>
      <c r="K463" t="s">
        <v>20</v>
      </c>
      <c r="L463" t="s">
        <v>965</v>
      </c>
      <c r="M463" s="3" t="str">
        <f>HYPERLINK("..\..\Imagery\ScannedPhotos\2004\CG04-209.4.jpg")</f>
        <v>..\..\Imagery\ScannedPhotos\2004\CG04-209.4.jpg</v>
      </c>
    </row>
    <row r="464" spans="1:13" x14ac:dyDescent="0.25">
      <c r="A464" t="s">
        <v>1343</v>
      </c>
      <c r="B464">
        <v>470403</v>
      </c>
      <c r="C464">
        <v>5912175</v>
      </c>
      <c r="D464">
        <v>21</v>
      </c>
      <c r="E464" t="s">
        <v>15</v>
      </c>
      <c r="F464" t="s">
        <v>1348</v>
      </c>
      <c r="G464">
        <v>6</v>
      </c>
      <c r="K464" t="s">
        <v>20</v>
      </c>
      <c r="L464" t="s">
        <v>965</v>
      </c>
      <c r="M464" s="3" t="str">
        <f>HYPERLINK("..\..\Imagery\ScannedPhotos\2004\CG04-209.5.jpg")</f>
        <v>..\..\Imagery\ScannedPhotos\2004\CG04-209.5.jpg</v>
      </c>
    </row>
    <row r="465" spans="1:13" x14ac:dyDescent="0.25">
      <c r="A465" t="s">
        <v>1343</v>
      </c>
      <c r="B465">
        <v>470403</v>
      </c>
      <c r="C465">
        <v>5912175</v>
      </c>
      <c r="D465">
        <v>21</v>
      </c>
      <c r="E465" t="s">
        <v>15</v>
      </c>
      <c r="F465" t="s">
        <v>1349</v>
      </c>
      <c r="G465">
        <v>6</v>
      </c>
      <c r="K465" t="s">
        <v>20</v>
      </c>
      <c r="L465" t="s">
        <v>965</v>
      </c>
      <c r="M465" s="3" t="str">
        <f>HYPERLINK("..\..\Imagery\ScannedPhotos\2004\CG04-209.6.jpg")</f>
        <v>..\..\Imagery\ScannedPhotos\2004\CG04-209.6.jpg</v>
      </c>
    </row>
    <row r="466" spans="1:13" x14ac:dyDescent="0.25">
      <c r="A466" t="s">
        <v>1350</v>
      </c>
      <c r="B466">
        <v>470069</v>
      </c>
      <c r="C466">
        <v>5911564</v>
      </c>
      <c r="D466">
        <v>21</v>
      </c>
      <c r="E466" t="s">
        <v>15</v>
      </c>
      <c r="F466" t="s">
        <v>1351</v>
      </c>
      <c r="G466">
        <v>6</v>
      </c>
      <c r="K466" t="s">
        <v>56</v>
      </c>
      <c r="L466" t="s">
        <v>1352</v>
      </c>
      <c r="M466" s="3" t="str">
        <f>HYPERLINK("..\..\Imagery\ScannedPhotos\2004\CG04-210.1.jpg")</f>
        <v>..\..\Imagery\ScannedPhotos\2004\CG04-210.1.jpg</v>
      </c>
    </row>
    <row r="467" spans="1:13" x14ac:dyDescent="0.25">
      <c r="A467" t="s">
        <v>1353</v>
      </c>
      <c r="B467">
        <v>583099</v>
      </c>
      <c r="C467">
        <v>5770822</v>
      </c>
      <c r="D467">
        <v>21</v>
      </c>
      <c r="E467" t="s">
        <v>15</v>
      </c>
      <c r="F467" t="s">
        <v>1354</v>
      </c>
      <c r="G467">
        <v>1</v>
      </c>
      <c r="H467" t="s">
        <v>1066</v>
      </c>
      <c r="I467" t="s">
        <v>41</v>
      </c>
      <c r="J467" t="s">
        <v>36</v>
      </c>
      <c r="K467" t="s">
        <v>20</v>
      </c>
      <c r="L467" t="s">
        <v>1355</v>
      </c>
      <c r="M467" s="3" t="str">
        <f>HYPERLINK("..\..\Imagery\ScannedPhotos\1987\CG87-428.jpg")</f>
        <v>..\..\Imagery\ScannedPhotos\1987\CG87-428.jpg</v>
      </c>
    </row>
    <row r="468" spans="1:13" x14ac:dyDescent="0.25">
      <c r="A468" t="s">
        <v>1356</v>
      </c>
      <c r="B468">
        <v>583860</v>
      </c>
      <c r="C468">
        <v>5770494</v>
      </c>
      <c r="D468">
        <v>21</v>
      </c>
      <c r="E468" t="s">
        <v>15</v>
      </c>
      <c r="F468" t="s">
        <v>1357</v>
      </c>
      <c r="G468">
        <v>2</v>
      </c>
      <c r="H468" t="s">
        <v>1066</v>
      </c>
      <c r="I468" t="s">
        <v>85</v>
      </c>
      <c r="J468" t="s">
        <v>36</v>
      </c>
      <c r="K468" t="s">
        <v>20</v>
      </c>
      <c r="L468" t="s">
        <v>1358</v>
      </c>
      <c r="M468" s="3" t="str">
        <f>HYPERLINK("..\..\Imagery\ScannedPhotos\1987\CG87-429.1.jpg")</f>
        <v>..\..\Imagery\ScannedPhotos\1987\CG87-429.1.jpg</v>
      </c>
    </row>
    <row r="469" spans="1:13" x14ac:dyDescent="0.25">
      <c r="A469" t="s">
        <v>1356</v>
      </c>
      <c r="B469">
        <v>583860</v>
      </c>
      <c r="C469">
        <v>5770494</v>
      </c>
      <c r="D469">
        <v>21</v>
      </c>
      <c r="E469" t="s">
        <v>15</v>
      </c>
      <c r="F469" t="s">
        <v>1359</v>
      </c>
      <c r="G469">
        <v>2</v>
      </c>
      <c r="H469" t="s">
        <v>1066</v>
      </c>
      <c r="I469" t="s">
        <v>375</v>
      </c>
      <c r="J469" t="s">
        <v>36</v>
      </c>
      <c r="K469" t="s">
        <v>20</v>
      </c>
      <c r="L469" t="s">
        <v>1358</v>
      </c>
      <c r="M469" s="3" t="str">
        <f>HYPERLINK("..\..\Imagery\ScannedPhotos\1987\CG87-429.2.jpg")</f>
        <v>..\..\Imagery\ScannedPhotos\1987\CG87-429.2.jpg</v>
      </c>
    </row>
    <row r="470" spans="1:13" x14ac:dyDescent="0.25">
      <c r="A470" t="s">
        <v>1360</v>
      </c>
      <c r="B470">
        <v>584684</v>
      </c>
      <c r="C470">
        <v>5770684</v>
      </c>
      <c r="D470">
        <v>21</v>
      </c>
      <c r="E470" t="s">
        <v>15</v>
      </c>
      <c r="F470" t="s">
        <v>1361</v>
      </c>
      <c r="G470">
        <v>7</v>
      </c>
      <c r="H470" t="s">
        <v>1066</v>
      </c>
      <c r="I470" t="s">
        <v>418</v>
      </c>
      <c r="J470" t="s">
        <v>36</v>
      </c>
      <c r="K470" t="s">
        <v>20</v>
      </c>
      <c r="L470" t="s">
        <v>1362</v>
      </c>
      <c r="M470" s="3" t="str">
        <f>HYPERLINK("..\..\Imagery\ScannedPhotos\1987\CG87-431.7.jpg")</f>
        <v>..\..\Imagery\ScannedPhotos\1987\CG87-431.7.jpg</v>
      </c>
    </row>
    <row r="471" spans="1:13" x14ac:dyDescent="0.25">
      <c r="A471" t="s">
        <v>1360</v>
      </c>
      <c r="B471">
        <v>584684</v>
      </c>
      <c r="C471">
        <v>5770684</v>
      </c>
      <c r="D471">
        <v>21</v>
      </c>
      <c r="E471" t="s">
        <v>15</v>
      </c>
      <c r="F471" t="s">
        <v>1363</v>
      </c>
      <c r="G471">
        <v>7</v>
      </c>
      <c r="H471" t="s">
        <v>1066</v>
      </c>
      <c r="I471" t="s">
        <v>94</v>
      </c>
      <c r="J471" t="s">
        <v>36</v>
      </c>
      <c r="K471" t="s">
        <v>20</v>
      </c>
      <c r="L471" t="s">
        <v>1362</v>
      </c>
      <c r="M471" s="3" t="str">
        <f>HYPERLINK("..\..\Imagery\ScannedPhotos\1987\CG87-431.1.jpg")</f>
        <v>..\..\Imagery\ScannedPhotos\1987\CG87-431.1.jpg</v>
      </c>
    </row>
    <row r="472" spans="1:13" x14ac:dyDescent="0.25">
      <c r="A472" t="s">
        <v>1360</v>
      </c>
      <c r="B472">
        <v>584684</v>
      </c>
      <c r="C472">
        <v>5770684</v>
      </c>
      <c r="D472">
        <v>21</v>
      </c>
      <c r="E472" t="s">
        <v>15</v>
      </c>
      <c r="F472" t="s">
        <v>1364</v>
      </c>
      <c r="G472">
        <v>7</v>
      </c>
      <c r="H472" t="s">
        <v>1066</v>
      </c>
      <c r="I472" t="s">
        <v>209</v>
      </c>
      <c r="J472" t="s">
        <v>36</v>
      </c>
      <c r="K472" t="s">
        <v>20</v>
      </c>
      <c r="L472" t="s">
        <v>1362</v>
      </c>
      <c r="M472" s="3" t="str">
        <f>HYPERLINK("..\..\Imagery\ScannedPhotos\1987\CG87-431.2.jpg")</f>
        <v>..\..\Imagery\ScannedPhotos\1987\CG87-431.2.jpg</v>
      </c>
    </row>
    <row r="473" spans="1:13" x14ac:dyDescent="0.25">
      <c r="A473" t="s">
        <v>1365</v>
      </c>
      <c r="B473">
        <v>525192</v>
      </c>
      <c r="C473">
        <v>5952436</v>
      </c>
      <c r="D473">
        <v>21</v>
      </c>
      <c r="E473" t="s">
        <v>15</v>
      </c>
      <c r="F473" t="s">
        <v>1366</v>
      </c>
      <c r="G473">
        <v>1</v>
      </c>
      <c r="H473" t="s">
        <v>718</v>
      </c>
      <c r="I473" t="s">
        <v>281</v>
      </c>
      <c r="J473" t="s">
        <v>48</v>
      </c>
      <c r="K473" t="s">
        <v>20</v>
      </c>
      <c r="L473" t="s">
        <v>1367</v>
      </c>
      <c r="M473" s="3" t="str">
        <f>HYPERLINK("..\..\Imagery\ScannedPhotos\1981\VO81-090.jpg")</f>
        <v>..\..\Imagery\ScannedPhotos\1981\VO81-090.jpg</v>
      </c>
    </row>
    <row r="474" spans="1:13" x14ac:dyDescent="0.25">
      <c r="A474" t="s">
        <v>1368</v>
      </c>
      <c r="B474">
        <v>525525</v>
      </c>
      <c r="C474">
        <v>5952181</v>
      </c>
      <c r="D474">
        <v>21</v>
      </c>
      <c r="E474" t="s">
        <v>15</v>
      </c>
      <c r="F474" t="s">
        <v>1369</v>
      </c>
      <c r="G474">
        <v>1</v>
      </c>
      <c r="H474" t="s">
        <v>718</v>
      </c>
      <c r="I474" t="s">
        <v>137</v>
      </c>
      <c r="J474" t="s">
        <v>48</v>
      </c>
      <c r="K474" t="s">
        <v>20</v>
      </c>
      <c r="L474" t="s">
        <v>1370</v>
      </c>
      <c r="M474" s="3" t="str">
        <f>HYPERLINK("..\..\Imagery\ScannedPhotos\1981\VO81-091.jpg")</f>
        <v>..\..\Imagery\ScannedPhotos\1981\VO81-091.jpg</v>
      </c>
    </row>
    <row r="475" spans="1:13" x14ac:dyDescent="0.25">
      <c r="A475" t="s">
        <v>1371</v>
      </c>
      <c r="B475">
        <v>581222</v>
      </c>
      <c r="C475">
        <v>5885848</v>
      </c>
      <c r="D475">
        <v>21</v>
      </c>
      <c r="E475" t="s">
        <v>15</v>
      </c>
      <c r="F475" t="s">
        <v>1372</v>
      </c>
      <c r="G475">
        <v>2</v>
      </c>
      <c r="H475" t="s">
        <v>1373</v>
      </c>
      <c r="I475" t="s">
        <v>74</v>
      </c>
      <c r="J475" t="s">
        <v>1374</v>
      </c>
      <c r="K475" t="s">
        <v>20</v>
      </c>
      <c r="L475" t="s">
        <v>1375</v>
      </c>
      <c r="M475" s="3" t="str">
        <f>HYPERLINK("..\..\Imagery\ScannedPhotos\1985\CG85-488.2.jpg")</f>
        <v>..\..\Imagery\ScannedPhotos\1985\CG85-488.2.jpg</v>
      </c>
    </row>
    <row r="476" spans="1:13" x14ac:dyDescent="0.25">
      <c r="A476" t="s">
        <v>1376</v>
      </c>
      <c r="B476">
        <v>581927</v>
      </c>
      <c r="C476">
        <v>5899392</v>
      </c>
      <c r="D476">
        <v>21</v>
      </c>
      <c r="E476" t="s">
        <v>15</v>
      </c>
      <c r="F476" t="s">
        <v>1377</v>
      </c>
      <c r="G476">
        <v>3</v>
      </c>
      <c r="H476" t="s">
        <v>1378</v>
      </c>
      <c r="I476" t="s">
        <v>119</v>
      </c>
      <c r="J476" t="s">
        <v>628</v>
      </c>
      <c r="K476" t="s">
        <v>20</v>
      </c>
      <c r="L476" t="s">
        <v>1379</v>
      </c>
      <c r="M476" s="3" t="str">
        <f>HYPERLINK("..\..\Imagery\ScannedPhotos\1985\CG85-532.3.jpg")</f>
        <v>..\..\Imagery\ScannedPhotos\1985\CG85-532.3.jpg</v>
      </c>
    </row>
    <row r="477" spans="1:13" x14ac:dyDescent="0.25">
      <c r="A477" t="s">
        <v>1380</v>
      </c>
      <c r="B477">
        <v>581141</v>
      </c>
      <c r="C477">
        <v>5898629</v>
      </c>
      <c r="D477">
        <v>21</v>
      </c>
      <c r="E477" t="s">
        <v>15</v>
      </c>
      <c r="F477" t="s">
        <v>1381</v>
      </c>
      <c r="G477">
        <v>2</v>
      </c>
      <c r="H477" t="s">
        <v>1373</v>
      </c>
      <c r="I477" t="s">
        <v>122</v>
      </c>
      <c r="J477" t="s">
        <v>1374</v>
      </c>
      <c r="K477" t="s">
        <v>20</v>
      </c>
      <c r="L477" t="s">
        <v>1382</v>
      </c>
      <c r="M477" s="3" t="str">
        <f>HYPERLINK("..\..\Imagery\ScannedPhotos\1985\CG85-534.1.jpg")</f>
        <v>..\..\Imagery\ScannedPhotos\1985\CG85-534.1.jpg</v>
      </c>
    </row>
    <row r="478" spans="1:13" x14ac:dyDescent="0.25">
      <c r="A478" t="s">
        <v>1380</v>
      </c>
      <c r="B478">
        <v>581141</v>
      </c>
      <c r="C478">
        <v>5898629</v>
      </c>
      <c r="D478">
        <v>21</v>
      </c>
      <c r="E478" t="s">
        <v>15</v>
      </c>
      <c r="F478" t="s">
        <v>1383</v>
      </c>
      <c r="G478">
        <v>2</v>
      </c>
      <c r="H478" t="s">
        <v>1373</v>
      </c>
      <c r="I478" t="s">
        <v>126</v>
      </c>
      <c r="J478" t="s">
        <v>1374</v>
      </c>
      <c r="K478" t="s">
        <v>20</v>
      </c>
      <c r="L478" t="s">
        <v>1382</v>
      </c>
      <c r="M478" s="3" t="str">
        <f>HYPERLINK("..\..\Imagery\ScannedPhotos\1985\CG85-534.2.jpg")</f>
        <v>..\..\Imagery\ScannedPhotos\1985\CG85-534.2.jpg</v>
      </c>
    </row>
    <row r="479" spans="1:13" x14ac:dyDescent="0.25">
      <c r="A479" t="s">
        <v>1384</v>
      </c>
      <c r="B479">
        <v>580553</v>
      </c>
      <c r="C479">
        <v>5898150</v>
      </c>
      <c r="D479">
        <v>21</v>
      </c>
      <c r="E479" t="s">
        <v>15</v>
      </c>
      <c r="F479" t="s">
        <v>1385</v>
      </c>
      <c r="G479">
        <v>2</v>
      </c>
      <c r="H479" t="s">
        <v>1373</v>
      </c>
      <c r="I479" t="s">
        <v>132</v>
      </c>
      <c r="J479" t="s">
        <v>1374</v>
      </c>
      <c r="K479" t="s">
        <v>20</v>
      </c>
      <c r="L479" t="s">
        <v>1386</v>
      </c>
      <c r="M479" s="3" t="str">
        <f>HYPERLINK("..\..\Imagery\ScannedPhotos\1985\CG85-538.2.jpg")</f>
        <v>..\..\Imagery\ScannedPhotos\1985\CG85-538.2.jpg</v>
      </c>
    </row>
    <row r="480" spans="1:13" x14ac:dyDescent="0.25">
      <c r="A480" t="s">
        <v>1384</v>
      </c>
      <c r="B480">
        <v>580553</v>
      </c>
      <c r="C480">
        <v>5898150</v>
      </c>
      <c r="D480">
        <v>21</v>
      </c>
      <c r="E480" t="s">
        <v>15</v>
      </c>
      <c r="F480" t="s">
        <v>1387</v>
      </c>
      <c r="G480">
        <v>2</v>
      </c>
      <c r="H480" t="s">
        <v>1373</v>
      </c>
      <c r="I480" t="s">
        <v>108</v>
      </c>
      <c r="J480" t="s">
        <v>1374</v>
      </c>
      <c r="K480" t="s">
        <v>20</v>
      </c>
      <c r="L480" t="s">
        <v>1386</v>
      </c>
      <c r="M480" s="3" t="str">
        <f>HYPERLINK("..\..\Imagery\ScannedPhotos\1985\CG85-538.1.jpg")</f>
        <v>..\..\Imagery\ScannedPhotos\1985\CG85-538.1.jpg</v>
      </c>
    </row>
    <row r="481" spans="1:13" x14ac:dyDescent="0.25">
      <c r="A481" t="s">
        <v>1388</v>
      </c>
      <c r="B481">
        <v>595341</v>
      </c>
      <c r="C481">
        <v>5793672</v>
      </c>
      <c r="D481">
        <v>21</v>
      </c>
      <c r="E481" t="s">
        <v>15</v>
      </c>
      <c r="F481" t="s">
        <v>1389</v>
      </c>
      <c r="G481">
        <v>4</v>
      </c>
      <c r="H481" t="s">
        <v>1390</v>
      </c>
      <c r="I481" t="s">
        <v>35</v>
      </c>
      <c r="J481" t="s">
        <v>1391</v>
      </c>
      <c r="K481" t="s">
        <v>20</v>
      </c>
      <c r="L481" t="s">
        <v>1392</v>
      </c>
      <c r="M481" s="3" t="str">
        <f>HYPERLINK("..\..\Imagery\ScannedPhotos\1987\CG87-580.2.jpg")</f>
        <v>..\..\Imagery\ScannedPhotos\1987\CG87-580.2.jpg</v>
      </c>
    </row>
    <row r="482" spans="1:13" x14ac:dyDescent="0.25">
      <c r="A482" t="s">
        <v>1393</v>
      </c>
      <c r="B482">
        <v>404410</v>
      </c>
      <c r="C482">
        <v>5836945</v>
      </c>
      <c r="D482">
        <v>21</v>
      </c>
      <c r="E482" t="s">
        <v>15</v>
      </c>
      <c r="F482" t="s">
        <v>1394</v>
      </c>
      <c r="G482">
        <v>7</v>
      </c>
      <c r="H482" t="s">
        <v>770</v>
      </c>
      <c r="I482" t="s">
        <v>214</v>
      </c>
      <c r="J482" t="s">
        <v>771</v>
      </c>
      <c r="K482" t="s">
        <v>56</v>
      </c>
      <c r="L482" t="s">
        <v>1395</v>
      </c>
      <c r="M482" s="3" t="str">
        <f>HYPERLINK("..\..\Imagery\ScannedPhotos\1997\CG97-161.2.jpg")</f>
        <v>..\..\Imagery\ScannedPhotos\1997\CG97-161.2.jpg</v>
      </c>
    </row>
    <row r="483" spans="1:13" x14ac:dyDescent="0.25">
      <c r="A483" t="s">
        <v>1393</v>
      </c>
      <c r="B483">
        <v>404410</v>
      </c>
      <c r="C483">
        <v>5836945</v>
      </c>
      <c r="D483">
        <v>21</v>
      </c>
      <c r="E483" t="s">
        <v>15</v>
      </c>
      <c r="F483" t="s">
        <v>1396</v>
      </c>
      <c r="G483">
        <v>7</v>
      </c>
      <c r="H483" t="s">
        <v>1397</v>
      </c>
      <c r="I483" t="s">
        <v>35</v>
      </c>
      <c r="J483" t="s">
        <v>771</v>
      </c>
      <c r="K483" t="s">
        <v>20</v>
      </c>
      <c r="L483" t="s">
        <v>1398</v>
      </c>
      <c r="M483" s="3" t="str">
        <f>HYPERLINK("..\..\Imagery\ScannedPhotos\1997\CG97-161.1.jpg")</f>
        <v>..\..\Imagery\ScannedPhotos\1997\CG97-161.1.jpg</v>
      </c>
    </row>
    <row r="484" spans="1:13" x14ac:dyDescent="0.25">
      <c r="A484" t="s">
        <v>1393</v>
      </c>
      <c r="B484">
        <v>404410</v>
      </c>
      <c r="C484">
        <v>5836945</v>
      </c>
      <c r="D484">
        <v>21</v>
      </c>
      <c r="E484" t="s">
        <v>15</v>
      </c>
      <c r="F484" t="s">
        <v>1399</v>
      </c>
      <c r="G484">
        <v>7</v>
      </c>
      <c r="H484" t="s">
        <v>770</v>
      </c>
      <c r="I484" t="s">
        <v>222</v>
      </c>
      <c r="J484" t="s">
        <v>771</v>
      </c>
      <c r="K484" t="s">
        <v>56</v>
      </c>
      <c r="L484" t="s">
        <v>1400</v>
      </c>
      <c r="M484" s="3" t="str">
        <f>HYPERLINK("..\..\Imagery\ScannedPhotos\1997\CG97-161.3.jpg")</f>
        <v>..\..\Imagery\ScannedPhotos\1997\CG97-161.3.jpg</v>
      </c>
    </row>
    <row r="485" spans="1:13" x14ac:dyDescent="0.25">
      <c r="A485" t="s">
        <v>1393</v>
      </c>
      <c r="B485">
        <v>404410</v>
      </c>
      <c r="C485">
        <v>5836945</v>
      </c>
      <c r="D485">
        <v>21</v>
      </c>
      <c r="E485" t="s">
        <v>15</v>
      </c>
      <c r="F485" t="s">
        <v>1401</v>
      </c>
      <c r="G485">
        <v>7</v>
      </c>
      <c r="H485" t="s">
        <v>766</v>
      </c>
      <c r="I485" t="s">
        <v>52</v>
      </c>
      <c r="J485" t="s">
        <v>767</v>
      </c>
      <c r="K485" t="s">
        <v>20</v>
      </c>
      <c r="L485" t="s">
        <v>1402</v>
      </c>
      <c r="M485" s="3" t="str">
        <f>HYPERLINK("..\..\Imagery\ScannedPhotos\1997\CG97-161.7.jpg")</f>
        <v>..\..\Imagery\ScannedPhotos\1997\CG97-161.7.jpg</v>
      </c>
    </row>
    <row r="486" spans="1:13" x14ac:dyDescent="0.25">
      <c r="A486" t="s">
        <v>1403</v>
      </c>
      <c r="B486">
        <v>537298</v>
      </c>
      <c r="C486">
        <v>5961593</v>
      </c>
      <c r="D486">
        <v>21</v>
      </c>
      <c r="E486" t="s">
        <v>15</v>
      </c>
      <c r="F486" t="s">
        <v>1404</v>
      </c>
      <c r="G486">
        <v>31</v>
      </c>
      <c r="H486" t="s">
        <v>1405</v>
      </c>
      <c r="I486" t="s">
        <v>147</v>
      </c>
      <c r="J486" t="s">
        <v>48</v>
      </c>
      <c r="K486" t="s">
        <v>20</v>
      </c>
      <c r="L486" t="s">
        <v>1406</v>
      </c>
      <c r="M486" s="3" t="str">
        <f>HYPERLINK("..\..\Imagery\ScannedPhotos\1981\CG81-306.13.jpg")</f>
        <v>..\..\Imagery\ScannedPhotos\1981\CG81-306.13.jpg</v>
      </c>
    </row>
    <row r="487" spans="1:13" x14ac:dyDescent="0.25">
      <c r="A487" t="s">
        <v>1407</v>
      </c>
      <c r="B487">
        <v>457573</v>
      </c>
      <c r="C487">
        <v>5912730</v>
      </c>
      <c r="D487">
        <v>21</v>
      </c>
      <c r="E487" t="s">
        <v>15</v>
      </c>
      <c r="F487" t="s">
        <v>1408</v>
      </c>
      <c r="G487">
        <v>2</v>
      </c>
      <c r="H487" t="s">
        <v>1409</v>
      </c>
      <c r="I487" t="s">
        <v>41</v>
      </c>
      <c r="J487" t="s">
        <v>1410</v>
      </c>
      <c r="K487" t="s">
        <v>56</v>
      </c>
      <c r="L487" t="s">
        <v>1411</v>
      </c>
      <c r="M487" s="3" t="str">
        <f>HYPERLINK("..\..\Imagery\ScannedPhotos\1984\CG84-072.2.jpg")</f>
        <v>..\..\Imagery\ScannedPhotos\1984\CG84-072.2.jpg</v>
      </c>
    </row>
    <row r="488" spans="1:13" x14ac:dyDescent="0.25">
      <c r="A488" t="s">
        <v>1407</v>
      </c>
      <c r="B488">
        <v>457573</v>
      </c>
      <c r="C488">
        <v>5912730</v>
      </c>
      <c r="D488">
        <v>21</v>
      </c>
      <c r="E488" t="s">
        <v>15</v>
      </c>
      <c r="F488" t="s">
        <v>1412</v>
      </c>
      <c r="G488">
        <v>2</v>
      </c>
      <c r="H488" t="s">
        <v>1409</v>
      </c>
      <c r="I488" t="s">
        <v>74</v>
      </c>
      <c r="J488" t="s">
        <v>1410</v>
      </c>
      <c r="K488" t="s">
        <v>20</v>
      </c>
      <c r="L488" t="s">
        <v>1020</v>
      </c>
      <c r="M488" s="3" t="str">
        <f>HYPERLINK("..\..\Imagery\ScannedPhotos\1984\CG84-072.1.jpg")</f>
        <v>..\..\Imagery\ScannedPhotos\1984\CG84-072.1.jpg</v>
      </c>
    </row>
    <row r="489" spans="1:13" x14ac:dyDescent="0.25">
      <c r="A489" t="s">
        <v>1413</v>
      </c>
      <c r="B489">
        <v>472126</v>
      </c>
      <c r="C489">
        <v>5906687</v>
      </c>
      <c r="D489">
        <v>21</v>
      </c>
      <c r="E489" t="s">
        <v>15</v>
      </c>
      <c r="F489" t="s">
        <v>1414</v>
      </c>
      <c r="G489">
        <v>1</v>
      </c>
      <c r="H489" t="s">
        <v>1333</v>
      </c>
      <c r="I489" t="s">
        <v>386</v>
      </c>
      <c r="J489" t="s">
        <v>1334</v>
      </c>
      <c r="K489" t="s">
        <v>56</v>
      </c>
      <c r="L489" t="s">
        <v>1020</v>
      </c>
      <c r="M489" s="3" t="str">
        <f>HYPERLINK("..\..\Imagery\ScannedPhotos\1984\CG84-142.jpg")</f>
        <v>..\..\Imagery\ScannedPhotos\1984\CG84-142.jpg</v>
      </c>
    </row>
    <row r="490" spans="1:13" x14ac:dyDescent="0.25">
      <c r="A490" t="s">
        <v>659</v>
      </c>
      <c r="B490">
        <v>572452</v>
      </c>
      <c r="C490">
        <v>5934965</v>
      </c>
      <c r="D490">
        <v>21</v>
      </c>
      <c r="E490" t="s">
        <v>15</v>
      </c>
      <c r="F490" t="s">
        <v>1415</v>
      </c>
      <c r="G490">
        <v>3</v>
      </c>
      <c r="H490" t="s">
        <v>627</v>
      </c>
      <c r="I490" t="s">
        <v>18</v>
      </c>
      <c r="J490" t="s">
        <v>628</v>
      </c>
      <c r="K490" t="s">
        <v>56</v>
      </c>
      <c r="L490" t="s">
        <v>1416</v>
      </c>
      <c r="M490" s="3" t="str">
        <f>HYPERLINK("..\..\Imagery\ScannedPhotos\1985\CG85-548.2.jpg")</f>
        <v>..\..\Imagery\ScannedPhotos\1985\CG85-548.2.jpg</v>
      </c>
    </row>
    <row r="491" spans="1:13" x14ac:dyDescent="0.25">
      <c r="A491" t="s">
        <v>1417</v>
      </c>
      <c r="B491">
        <v>479895</v>
      </c>
      <c r="C491">
        <v>5828664</v>
      </c>
      <c r="D491">
        <v>21</v>
      </c>
      <c r="E491" t="s">
        <v>15</v>
      </c>
      <c r="F491" t="s">
        <v>1418</v>
      </c>
      <c r="G491">
        <v>5</v>
      </c>
      <c r="H491" t="s">
        <v>849</v>
      </c>
      <c r="I491" t="s">
        <v>79</v>
      </c>
      <c r="J491" t="s">
        <v>850</v>
      </c>
      <c r="K491" t="s">
        <v>20</v>
      </c>
      <c r="L491" t="s">
        <v>1419</v>
      </c>
      <c r="M491" s="3" t="str">
        <f>HYPERLINK("..\..\Imagery\ScannedPhotos\1991\VN91-155.2.jpg")</f>
        <v>..\..\Imagery\ScannedPhotos\1991\VN91-155.2.jpg</v>
      </c>
    </row>
    <row r="492" spans="1:13" x14ac:dyDescent="0.25">
      <c r="A492" t="s">
        <v>847</v>
      </c>
      <c r="B492">
        <v>483250</v>
      </c>
      <c r="C492">
        <v>5843642</v>
      </c>
      <c r="D492">
        <v>21</v>
      </c>
      <c r="E492" t="s">
        <v>15</v>
      </c>
      <c r="F492" t="s">
        <v>1420</v>
      </c>
      <c r="G492">
        <v>2</v>
      </c>
      <c r="H492" t="s">
        <v>849</v>
      </c>
      <c r="I492" t="s">
        <v>35</v>
      </c>
      <c r="J492" t="s">
        <v>850</v>
      </c>
      <c r="K492" t="s">
        <v>20</v>
      </c>
      <c r="L492" t="s">
        <v>1421</v>
      </c>
      <c r="M492" s="3" t="str">
        <f>HYPERLINK("..\..\Imagery\ScannedPhotos\1991\VN91-163.1.jpg")</f>
        <v>..\..\Imagery\ScannedPhotos\1991\VN91-163.1.jpg</v>
      </c>
    </row>
    <row r="493" spans="1:13" x14ac:dyDescent="0.25">
      <c r="A493" t="s">
        <v>1422</v>
      </c>
      <c r="B493">
        <v>393245</v>
      </c>
      <c r="C493">
        <v>5988458</v>
      </c>
      <c r="D493">
        <v>21</v>
      </c>
      <c r="E493" t="s">
        <v>15</v>
      </c>
      <c r="F493" t="s">
        <v>1423</v>
      </c>
      <c r="G493">
        <v>6</v>
      </c>
      <c r="H493" t="s">
        <v>1424</v>
      </c>
      <c r="I493" t="s">
        <v>137</v>
      </c>
      <c r="J493" t="s">
        <v>623</v>
      </c>
      <c r="K493" t="s">
        <v>56</v>
      </c>
      <c r="L493" t="s">
        <v>1425</v>
      </c>
      <c r="M493" s="3" t="str">
        <f>HYPERLINK("..\..\Imagery\ScannedPhotos\1980\NN80-123.2.jpg")</f>
        <v>..\..\Imagery\ScannedPhotos\1980\NN80-123.2.jpg</v>
      </c>
    </row>
    <row r="494" spans="1:13" x14ac:dyDescent="0.25">
      <c r="A494" t="s">
        <v>1426</v>
      </c>
      <c r="B494">
        <v>577838</v>
      </c>
      <c r="C494">
        <v>5825948</v>
      </c>
      <c r="D494">
        <v>21</v>
      </c>
      <c r="E494" t="s">
        <v>15</v>
      </c>
      <c r="F494" t="s">
        <v>1427</v>
      </c>
      <c r="G494">
        <v>2</v>
      </c>
      <c r="H494" t="s">
        <v>1232</v>
      </c>
      <c r="I494" t="s">
        <v>195</v>
      </c>
      <c r="J494" t="s">
        <v>1233</v>
      </c>
      <c r="K494" t="s">
        <v>20</v>
      </c>
      <c r="L494" t="s">
        <v>1428</v>
      </c>
      <c r="M494" s="3" t="str">
        <f>HYPERLINK("..\..\Imagery\ScannedPhotos\1986\MN86-210.2.jpg")</f>
        <v>..\..\Imagery\ScannedPhotos\1986\MN86-210.2.jpg</v>
      </c>
    </row>
    <row r="495" spans="1:13" x14ac:dyDescent="0.25">
      <c r="A495" t="s">
        <v>1429</v>
      </c>
      <c r="B495">
        <v>576239</v>
      </c>
      <c r="C495">
        <v>5825872</v>
      </c>
      <c r="D495">
        <v>21</v>
      </c>
      <c r="E495" t="s">
        <v>15</v>
      </c>
      <c r="F495" t="s">
        <v>1430</v>
      </c>
      <c r="G495">
        <v>1</v>
      </c>
      <c r="H495" t="s">
        <v>1232</v>
      </c>
      <c r="I495" t="s">
        <v>25</v>
      </c>
      <c r="J495" t="s">
        <v>1233</v>
      </c>
      <c r="K495" t="s">
        <v>20</v>
      </c>
      <c r="L495" t="s">
        <v>1431</v>
      </c>
      <c r="M495" s="3" t="str">
        <f>HYPERLINK("..\..\Imagery\ScannedPhotos\1986\MN86-212.jpg")</f>
        <v>..\..\Imagery\ScannedPhotos\1986\MN86-212.jpg</v>
      </c>
    </row>
    <row r="496" spans="1:13" x14ac:dyDescent="0.25">
      <c r="A496" t="s">
        <v>1432</v>
      </c>
      <c r="B496">
        <v>575748</v>
      </c>
      <c r="C496">
        <v>5824969</v>
      </c>
      <c r="D496">
        <v>21</v>
      </c>
      <c r="E496" t="s">
        <v>15</v>
      </c>
      <c r="F496" t="s">
        <v>1433</v>
      </c>
      <c r="G496">
        <v>3</v>
      </c>
      <c r="H496" t="s">
        <v>1232</v>
      </c>
      <c r="I496" t="s">
        <v>30</v>
      </c>
      <c r="J496" t="s">
        <v>1233</v>
      </c>
      <c r="K496" t="s">
        <v>20</v>
      </c>
      <c r="L496" t="s">
        <v>1434</v>
      </c>
      <c r="M496" s="3" t="str">
        <f>HYPERLINK("..\..\Imagery\ScannedPhotos\1986\MN86-216.2.jpg")</f>
        <v>..\..\Imagery\ScannedPhotos\1986\MN86-216.2.jpg</v>
      </c>
    </row>
    <row r="497" spans="1:13" x14ac:dyDescent="0.25">
      <c r="A497" t="s">
        <v>1435</v>
      </c>
      <c r="B497">
        <v>499342</v>
      </c>
      <c r="C497">
        <v>5821358</v>
      </c>
      <c r="D497">
        <v>21</v>
      </c>
      <c r="E497" t="s">
        <v>15</v>
      </c>
      <c r="F497" t="s">
        <v>1436</v>
      </c>
      <c r="G497">
        <v>2</v>
      </c>
      <c r="H497" t="s">
        <v>792</v>
      </c>
      <c r="I497" t="s">
        <v>122</v>
      </c>
      <c r="J497" t="s">
        <v>793</v>
      </c>
      <c r="K497" t="s">
        <v>56</v>
      </c>
      <c r="L497" t="s">
        <v>1437</v>
      </c>
      <c r="M497" s="3" t="str">
        <f>HYPERLINK("..\..\Imagery\ScannedPhotos\1991\VN91-342.1.jpg")</f>
        <v>..\..\Imagery\ScannedPhotos\1991\VN91-342.1.jpg</v>
      </c>
    </row>
    <row r="498" spans="1:13" x14ac:dyDescent="0.25">
      <c r="A498" t="s">
        <v>1438</v>
      </c>
      <c r="B498">
        <v>493485</v>
      </c>
      <c r="C498">
        <v>5823779</v>
      </c>
      <c r="D498">
        <v>21</v>
      </c>
      <c r="E498" t="s">
        <v>15</v>
      </c>
      <c r="F498" t="s">
        <v>1439</v>
      </c>
      <c r="G498">
        <v>3</v>
      </c>
      <c r="H498" t="s">
        <v>792</v>
      </c>
      <c r="I498" t="s">
        <v>147</v>
      </c>
      <c r="J498" t="s">
        <v>793</v>
      </c>
      <c r="K498" t="s">
        <v>56</v>
      </c>
      <c r="L498" t="s">
        <v>322</v>
      </c>
      <c r="M498" s="3" t="str">
        <f>HYPERLINK("..\..\Imagery\ScannedPhotos\1991\VN91-358.3.jpg")</f>
        <v>..\..\Imagery\ScannedPhotos\1991\VN91-358.3.jpg</v>
      </c>
    </row>
    <row r="499" spans="1:13" x14ac:dyDescent="0.25">
      <c r="A499" t="s">
        <v>878</v>
      </c>
      <c r="B499">
        <v>564556</v>
      </c>
      <c r="C499">
        <v>5821503</v>
      </c>
      <c r="D499">
        <v>21</v>
      </c>
      <c r="E499" t="s">
        <v>15</v>
      </c>
      <c r="F499" t="s">
        <v>1440</v>
      </c>
      <c r="G499">
        <v>3</v>
      </c>
      <c r="H499" t="s">
        <v>68</v>
      </c>
      <c r="I499" t="s">
        <v>281</v>
      </c>
      <c r="J499" t="s">
        <v>70</v>
      </c>
      <c r="K499" t="s">
        <v>56</v>
      </c>
      <c r="L499" t="s">
        <v>1441</v>
      </c>
      <c r="M499" s="3" t="str">
        <f>HYPERLINK("..\..\Imagery\ScannedPhotos\1986\SN86-136.1.jpg")</f>
        <v>..\..\Imagery\ScannedPhotos\1986\SN86-136.1.jpg</v>
      </c>
    </row>
    <row r="500" spans="1:13" x14ac:dyDescent="0.25">
      <c r="A500" t="s">
        <v>1442</v>
      </c>
      <c r="B500">
        <v>565206</v>
      </c>
      <c r="C500">
        <v>5821103</v>
      </c>
      <c r="D500">
        <v>21</v>
      </c>
      <c r="E500" t="s">
        <v>15</v>
      </c>
      <c r="F500" t="s">
        <v>1443</v>
      </c>
      <c r="G500">
        <v>1</v>
      </c>
      <c r="H500" t="s">
        <v>68</v>
      </c>
      <c r="I500" t="s">
        <v>35</v>
      </c>
      <c r="J500" t="s">
        <v>70</v>
      </c>
      <c r="K500" t="s">
        <v>20</v>
      </c>
      <c r="L500" t="s">
        <v>1444</v>
      </c>
      <c r="M500" s="3" t="str">
        <f>HYPERLINK("..\..\Imagery\ScannedPhotos\1986\SN86-138.jpg")</f>
        <v>..\..\Imagery\ScannedPhotos\1986\SN86-138.jpg</v>
      </c>
    </row>
    <row r="501" spans="1:13" x14ac:dyDescent="0.25">
      <c r="A501" t="s">
        <v>1445</v>
      </c>
      <c r="B501">
        <v>596752</v>
      </c>
      <c r="C501">
        <v>5792346</v>
      </c>
      <c r="D501">
        <v>21</v>
      </c>
      <c r="E501" t="s">
        <v>15</v>
      </c>
      <c r="F501" t="s">
        <v>1446</v>
      </c>
      <c r="G501">
        <v>4</v>
      </c>
      <c r="K501" t="s">
        <v>109</v>
      </c>
      <c r="L501" t="s">
        <v>1447</v>
      </c>
      <c r="M501" s="3" t="str">
        <f>HYPERLINK("..\..\Imagery\ScannedPhotos\2007\CG07-173.3.jpg")</f>
        <v>..\..\Imagery\ScannedPhotos\2007\CG07-173.3.jpg</v>
      </c>
    </row>
    <row r="502" spans="1:13" x14ac:dyDescent="0.25">
      <c r="A502" t="s">
        <v>1445</v>
      </c>
      <c r="B502">
        <v>596752</v>
      </c>
      <c r="C502">
        <v>5792346</v>
      </c>
      <c r="D502">
        <v>21</v>
      </c>
      <c r="E502" t="s">
        <v>15</v>
      </c>
      <c r="F502" t="s">
        <v>1448</v>
      </c>
      <c r="G502">
        <v>4</v>
      </c>
      <c r="K502" t="s">
        <v>20</v>
      </c>
      <c r="L502" t="s">
        <v>1449</v>
      </c>
      <c r="M502" s="3" t="str">
        <f>HYPERLINK("..\..\Imagery\ScannedPhotos\2007\CG07-173.4.jpg")</f>
        <v>..\..\Imagery\ScannedPhotos\2007\CG07-173.4.jpg</v>
      </c>
    </row>
    <row r="503" spans="1:13" x14ac:dyDescent="0.25">
      <c r="A503" t="s">
        <v>1450</v>
      </c>
      <c r="B503">
        <v>596752</v>
      </c>
      <c r="C503">
        <v>5792388</v>
      </c>
      <c r="D503">
        <v>21</v>
      </c>
      <c r="E503" t="s">
        <v>15</v>
      </c>
      <c r="F503" t="s">
        <v>1451</v>
      </c>
      <c r="G503">
        <v>2</v>
      </c>
      <c r="K503" t="s">
        <v>20</v>
      </c>
      <c r="L503" t="s">
        <v>1452</v>
      </c>
      <c r="M503" s="3" t="str">
        <f>HYPERLINK("..\..\Imagery\ScannedPhotos\2007\CG07-174.1.jpg")</f>
        <v>..\..\Imagery\ScannedPhotos\2007\CG07-174.1.jpg</v>
      </c>
    </row>
    <row r="504" spans="1:13" x14ac:dyDescent="0.25">
      <c r="A504" t="s">
        <v>1450</v>
      </c>
      <c r="B504">
        <v>596752</v>
      </c>
      <c r="C504">
        <v>5792388</v>
      </c>
      <c r="D504">
        <v>21</v>
      </c>
      <c r="E504" t="s">
        <v>15</v>
      </c>
      <c r="F504" t="s">
        <v>1453</v>
      </c>
      <c r="G504">
        <v>2</v>
      </c>
      <c r="K504" t="s">
        <v>20</v>
      </c>
      <c r="L504" t="s">
        <v>1454</v>
      </c>
      <c r="M504" s="3" t="str">
        <f>HYPERLINK("..\..\Imagery\ScannedPhotos\2007\CG07-174.2.jpg")</f>
        <v>..\..\Imagery\ScannedPhotos\2007\CG07-174.2.jpg</v>
      </c>
    </row>
    <row r="505" spans="1:13" x14ac:dyDescent="0.25">
      <c r="A505" t="s">
        <v>1455</v>
      </c>
      <c r="B505">
        <v>398900</v>
      </c>
      <c r="C505">
        <v>5973976</v>
      </c>
      <c r="D505">
        <v>21</v>
      </c>
      <c r="E505" t="s">
        <v>15</v>
      </c>
      <c r="F505" t="s">
        <v>1456</v>
      </c>
      <c r="G505">
        <v>2</v>
      </c>
      <c r="H505" t="s">
        <v>1457</v>
      </c>
      <c r="I505" t="s">
        <v>79</v>
      </c>
      <c r="J505" t="s">
        <v>1458</v>
      </c>
      <c r="K505" t="s">
        <v>20</v>
      </c>
      <c r="L505" t="s">
        <v>116</v>
      </c>
      <c r="M505" s="3" t="str">
        <f>HYPERLINK("..\..\Imagery\ScannedPhotos\1980\RG80-341.2.jpg")</f>
        <v>..\..\Imagery\ScannedPhotos\1980\RG80-341.2.jpg</v>
      </c>
    </row>
    <row r="506" spans="1:13" x14ac:dyDescent="0.25">
      <c r="A506" t="s">
        <v>1455</v>
      </c>
      <c r="B506">
        <v>398900</v>
      </c>
      <c r="C506">
        <v>5973976</v>
      </c>
      <c r="D506">
        <v>21</v>
      </c>
      <c r="E506" t="s">
        <v>15</v>
      </c>
      <c r="F506" t="s">
        <v>1459</v>
      </c>
      <c r="G506">
        <v>2</v>
      </c>
      <c r="H506" t="s">
        <v>1457</v>
      </c>
      <c r="I506" t="s">
        <v>294</v>
      </c>
      <c r="J506" t="s">
        <v>1458</v>
      </c>
      <c r="K506" t="s">
        <v>20</v>
      </c>
      <c r="L506" t="s">
        <v>116</v>
      </c>
      <c r="M506" s="3" t="str">
        <f>HYPERLINK("..\..\Imagery\ScannedPhotos\1980\RG80-341.1.jpg")</f>
        <v>..\..\Imagery\ScannedPhotos\1980\RG80-341.1.jpg</v>
      </c>
    </row>
    <row r="507" spans="1:13" x14ac:dyDescent="0.25">
      <c r="A507" t="s">
        <v>1460</v>
      </c>
      <c r="B507">
        <v>583404</v>
      </c>
      <c r="C507">
        <v>5881270</v>
      </c>
      <c r="D507">
        <v>21</v>
      </c>
      <c r="E507" t="s">
        <v>15</v>
      </c>
      <c r="F507" t="s">
        <v>1461</v>
      </c>
      <c r="G507">
        <v>2</v>
      </c>
      <c r="H507" t="s">
        <v>1462</v>
      </c>
      <c r="I507" t="s">
        <v>304</v>
      </c>
      <c r="J507" t="s">
        <v>1463</v>
      </c>
      <c r="K507" t="s">
        <v>20</v>
      </c>
      <c r="L507" t="s">
        <v>1464</v>
      </c>
      <c r="M507" s="3" t="str">
        <f>HYPERLINK("..\..\Imagery\ScannedPhotos\1985\VN85-493.2.jpg")</f>
        <v>..\..\Imagery\ScannedPhotos\1985\VN85-493.2.jpg</v>
      </c>
    </row>
    <row r="508" spans="1:13" x14ac:dyDescent="0.25">
      <c r="A508" t="s">
        <v>1465</v>
      </c>
      <c r="B508">
        <v>464141</v>
      </c>
      <c r="C508">
        <v>5839364</v>
      </c>
      <c r="D508">
        <v>21</v>
      </c>
      <c r="E508" t="s">
        <v>15</v>
      </c>
      <c r="F508" t="s">
        <v>1466</v>
      </c>
      <c r="G508">
        <v>1</v>
      </c>
      <c r="H508" t="s">
        <v>890</v>
      </c>
      <c r="I508" t="s">
        <v>119</v>
      </c>
      <c r="J508" t="s">
        <v>891</v>
      </c>
      <c r="K508" t="s">
        <v>56</v>
      </c>
      <c r="L508" t="s">
        <v>1467</v>
      </c>
      <c r="M508" s="3" t="str">
        <f>HYPERLINK("..\..\Imagery\ScannedPhotos\1991\VN91-240.jpg")</f>
        <v>..\..\Imagery\ScannedPhotos\1991\VN91-240.jpg</v>
      </c>
    </row>
    <row r="509" spans="1:13" x14ac:dyDescent="0.25">
      <c r="A509" t="s">
        <v>1468</v>
      </c>
      <c r="B509">
        <v>507534</v>
      </c>
      <c r="C509">
        <v>5971459</v>
      </c>
      <c r="D509">
        <v>21</v>
      </c>
      <c r="E509" t="s">
        <v>15</v>
      </c>
      <c r="F509" t="s">
        <v>1469</v>
      </c>
      <c r="G509">
        <v>2</v>
      </c>
      <c r="H509" t="s">
        <v>845</v>
      </c>
      <c r="I509" t="s">
        <v>25</v>
      </c>
      <c r="J509" t="s">
        <v>48</v>
      </c>
      <c r="K509" t="s">
        <v>20</v>
      </c>
      <c r="L509" t="s">
        <v>1470</v>
      </c>
      <c r="M509" s="3" t="str">
        <f>HYPERLINK("..\..\Imagery\ScannedPhotos\1981\CG81-632.1.jpg")</f>
        <v>..\..\Imagery\ScannedPhotos\1981\CG81-632.1.jpg</v>
      </c>
    </row>
    <row r="510" spans="1:13" x14ac:dyDescent="0.25">
      <c r="A510" t="s">
        <v>1468</v>
      </c>
      <c r="B510">
        <v>507534</v>
      </c>
      <c r="C510">
        <v>5971459</v>
      </c>
      <c r="D510">
        <v>21</v>
      </c>
      <c r="E510" t="s">
        <v>15</v>
      </c>
      <c r="F510" t="s">
        <v>1471</v>
      </c>
      <c r="G510">
        <v>2</v>
      </c>
      <c r="H510" t="s">
        <v>845</v>
      </c>
      <c r="I510" t="s">
        <v>647</v>
      </c>
      <c r="J510" t="s">
        <v>48</v>
      </c>
      <c r="K510" t="s">
        <v>20</v>
      </c>
      <c r="L510" t="s">
        <v>1470</v>
      </c>
      <c r="M510" s="3" t="str">
        <f>HYPERLINK("..\..\Imagery\ScannedPhotos\1981\CG81-632.2.jpg")</f>
        <v>..\..\Imagery\ScannedPhotos\1981\CG81-632.2.jpg</v>
      </c>
    </row>
    <row r="511" spans="1:13" x14ac:dyDescent="0.25">
      <c r="A511" t="s">
        <v>1472</v>
      </c>
      <c r="B511">
        <v>505615</v>
      </c>
      <c r="C511">
        <v>5970267</v>
      </c>
      <c r="D511">
        <v>21</v>
      </c>
      <c r="E511" t="s">
        <v>15</v>
      </c>
      <c r="F511" t="s">
        <v>1473</v>
      </c>
      <c r="G511">
        <v>1</v>
      </c>
      <c r="H511" t="s">
        <v>845</v>
      </c>
      <c r="I511" t="s">
        <v>119</v>
      </c>
      <c r="J511" t="s">
        <v>48</v>
      </c>
      <c r="K511" t="s">
        <v>20</v>
      </c>
      <c r="L511" t="s">
        <v>1474</v>
      </c>
      <c r="M511" s="3" t="str">
        <f>HYPERLINK("..\..\Imagery\ScannedPhotos\1981\CG81-633.jpg")</f>
        <v>..\..\Imagery\ScannedPhotos\1981\CG81-633.jpg</v>
      </c>
    </row>
    <row r="512" spans="1:13" x14ac:dyDescent="0.25">
      <c r="A512" t="s">
        <v>1475</v>
      </c>
      <c r="B512">
        <v>504739</v>
      </c>
      <c r="C512">
        <v>5970180</v>
      </c>
      <c r="D512">
        <v>21</v>
      </c>
      <c r="E512" t="s">
        <v>15</v>
      </c>
      <c r="F512" t="s">
        <v>1476</v>
      </c>
      <c r="G512">
        <v>1</v>
      </c>
      <c r="H512" t="s">
        <v>845</v>
      </c>
      <c r="I512" t="s">
        <v>126</v>
      </c>
      <c r="J512" t="s">
        <v>48</v>
      </c>
      <c r="K512" t="s">
        <v>20</v>
      </c>
      <c r="L512" t="s">
        <v>1477</v>
      </c>
      <c r="M512" s="3" t="str">
        <f>HYPERLINK("..\..\Imagery\ScannedPhotos\1981\CG81-634.jpg")</f>
        <v>..\..\Imagery\ScannedPhotos\1981\CG81-634.jpg</v>
      </c>
    </row>
    <row r="513" spans="1:13" x14ac:dyDescent="0.25">
      <c r="A513" t="s">
        <v>1478</v>
      </c>
      <c r="B513">
        <v>553220</v>
      </c>
      <c r="C513">
        <v>5949780</v>
      </c>
      <c r="D513">
        <v>21</v>
      </c>
      <c r="E513" t="s">
        <v>15</v>
      </c>
      <c r="F513" t="s">
        <v>1479</v>
      </c>
      <c r="G513">
        <v>3</v>
      </c>
      <c r="H513" t="s">
        <v>1480</v>
      </c>
      <c r="I513" t="s">
        <v>214</v>
      </c>
      <c r="J513" t="s">
        <v>48</v>
      </c>
      <c r="K513" t="s">
        <v>20</v>
      </c>
      <c r="L513" t="s">
        <v>1481</v>
      </c>
      <c r="M513" s="3" t="str">
        <f>HYPERLINK("..\..\Imagery\ScannedPhotos\1981\CG81-644.1.jpg")</f>
        <v>..\..\Imagery\ScannedPhotos\1981\CG81-644.1.jpg</v>
      </c>
    </row>
    <row r="514" spans="1:13" x14ac:dyDescent="0.25">
      <c r="A514" t="s">
        <v>1478</v>
      </c>
      <c r="B514">
        <v>553220</v>
      </c>
      <c r="C514">
        <v>5949780</v>
      </c>
      <c r="D514">
        <v>21</v>
      </c>
      <c r="E514" t="s">
        <v>15</v>
      </c>
      <c r="F514" t="s">
        <v>1482</v>
      </c>
      <c r="G514">
        <v>3</v>
      </c>
      <c r="H514" t="s">
        <v>1480</v>
      </c>
      <c r="I514" t="s">
        <v>418</v>
      </c>
      <c r="J514" t="s">
        <v>48</v>
      </c>
      <c r="K514" t="s">
        <v>20</v>
      </c>
      <c r="L514" t="s">
        <v>1483</v>
      </c>
      <c r="M514" s="3" t="str">
        <f>HYPERLINK("..\..\Imagery\ScannedPhotos\1981\CG81-644.3.jpg")</f>
        <v>..\..\Imagery\ScannedPhotos\1981\CG81-644.3.jpg</v>
      </c>
    </row>
    <row r="515" spans="1:13" x14ac:dyDescent="0.25">
      <c r="A515" t="s">
        <v>1478</v>
      </c>
      <c r="B515">
        <v>553220</v>
      </c>
      <c r="C515">
        <v>5949780</v>
      </c>
      <c r="D515">
        <v>21</v>
      </c>
      <c r="E515" t="s">
        <v>15</v>
      </c>
      <c r="F515" t="s">
        <v>1484</v>
      </c>
      <c r="G515">
        <v>3</v>
      </c>
      <c r="H515" t="s">
        <v>1480</v>
      </c>
      <c r="I515" t="s">
        <v>222</v>
      </c>
      <c r="J515" t="s">
        <v>48</v>
      </c>
      <c r="K515" t="s">
        <v>20</v>
      </c>
      <c r="L515" t="s">
        <v>1485</v>
      </c>
      <c r="M515" s="3" t="str">
        <f>HYPERLINK("..\..\Imagery\ScannedPhotos\1981\CG81-644.2.jpg")</f>
        <v>..\..\Imagery\ScannedPhotos\1981\CG81-644.2.jpg</v>
      </c>
    </row>
    <row r="516" spans="1:13" x14ac:dyDescent="0.25">
      <c r="A516" t="s">
        <v>1486</v>
      </c>
      <c r="B516">
        <v>474953</v>
      </c>
      <c r="C516">
        <v>5928506</v>
      </c>
      <c r="D516">
        <v>21</v>
      </c>
      <c r="E516" t="s">
        <v>15</v>
      </c>
      <c r="F516" t="s">
        <v>1487</v>
      </c>
      <c r="G516">
        <v>1</v>
      </c>
      <c r="H516" t="s">
        <v>1480</v>
      </c>
      <c r="I516" t="s">
        <v>30</v>
      </c>
      <c r="J516" t="s">
        <v>48</v>
      </c>
      <c r="K516" t="s">
        <v>20</v>
      </c>
      <c r="L516" t="s">
        <v>1488</v>
      </c>
      <c r="M516" s="3" t="str">
        <f>HYPERLINK("..\..\Imagery\ScannedPhotos\1981\CG81-672.jpg")</f>
        <v>..\..\Imagery\ScannedPhotos\1981\CG81-672.jpg</v>
      </c>
    </row>
    <row r="517" spans="1:13" x14ac:dyDescent="0.25">
      <c r="A517" t="s">
        <v>1489</v>
      </c>
      <c r="B517">
        <v>387378</v>
      </c>
      <c r="C517">
        <v>5926980</v>
      </c>
      <c r="D517">
        <v>21</v>
      </c>
      <c r="E517" t="s">
        <v>15</v>
      </c>
      <c r="F517" t="s">
        <v>1490</v>
      </c>
      <c r="G517">
        <v>3</v>
      </c>
      <c r="H517" t="s">
        <v>562</v>
      </c>
      <c r="I517" t="s">
        <v>195</v>
      </c>
      <c r="J517" t="s">
        <v>563</v>
      </c>
      <c r="K517" t="s">
        <v>20</v>
      </c>
      <c r="L517" t="s">
        <v>1491</v>
      </c>
      <c r="M517" s="3" t="str">
        <f>HYPERLINK("..\..\Imagery\ScannedPhotos\1995\VN95-111.2.jpg")</f>
        <v>..\..\Imagery\ScannedPhotos\1995\VN95-111.2.jpg</v>
      </c>
    </row>
    <row r="518" spans="1:13" x14ac:dyDescent="0.25">
      <c r="A518" t="s">
        <v>1492</v>
      </c>
      <c r="B518">
        <v>409189</v>
      </c>
      <c r="C518">
        <v>5996749</v>
      </c>
      <c r="D518">
        <v>21</v>
      </c>
      <c r="E518" t="s">
        <v>15</v>
      </c>
      <c r="F518" t="s">
        <v>1493</v>
      </c>
      <c r="G518">
        <v>1</v>
      </c>
      <c r="H518" t="s">
        <v>1156</v>
      </c>
      <c r="I518" t="s">
        <v>30</v>
      </c>
      <c r="J518" t="s">
        <v>95</v>
      </c>
      <c r="K518" t="s">
        <v>20</v>
      </c>
      <c r="L518" t="s">
        <v>1494</v>
      </c>
      <c r="M518" s="3" t="str">
        <f>HYPERLINK("..\..\Imagery\ScannedPhotos\1980\CG80-144.jpg")</f>
        <v>..\..\Imagery\ScannedPhotos\1980\CG80-144.jpg</v>
      </c>
    </row>
    <row r="519" spans="1:13" x14ac:dyDescent="0.25">
      <c r="A519" t="s">
        <v>1495</v>
      </c>
      <c r="B519">
        <v>409558</v>
      </c>
      <c r="C519">
        <v>5996658</v>
      </c>
      <c r="D519">
        <v>21</v>
      </c>
      <c r="E519" t="s">
        <v>15</v>
      </c>
      <c r="F519" t="s">
        <v>1496</v>
      </c>
      <c r="G519">
        <v>1</v>
      </c>
      <c r="H519" t="s">
        <v>1156</v>
      </c>
      <c r="I519" t="s">
        <v>114</v>
      </c>
      <c r="J519" t="s">
        <v>95</v>
      </c>
      <c r="K519" t="s">
        <v>20</v>
      </c>
      <c r="L519" t="s">
        <v>1497</v>
      </c>
      <c r="M519" s="3" t="str">
        <f>HYPERLINK("..\..\Imagery\ScannedPhotos\1980\CG80-145.jpg")</f>
        <v>..\..\Imagery\ScannedPhotos\1980\CG80-145.jpg</v>
      </c>
    </row>
    <row r="520" spans="1:13" x14ac:dyDescent="0.25">
      <c r="A520" t="s">
        <v>1498</v>
      </c>
      <c r="B520">
        <v>410383</v>
      </c>
      <c r="C520">
        <v>5996493</v>
      </c>
      <c r="D520">
        <v>21</v>
      </c>
      <c r="E520" t="s">
        <v>15</v>
      </c>
      <c r="F520" t="s">
        <v>1499</v>
      </c>
      <c r="G520">
        <v>1</v>
      </c>
      <c r="H520" t="s">
        <v>1156</v>
      </c>
      <c r="I520" t="s">
        <v>119</v>
      </c>
      <c r="J520" t="s">
        <v>95</v>
      </c>
      <c r="K520" t="s">
        <v>20</v>
      </c>
      <c r="L520" t="s">
        <v>1500</v>
      </c>
      <c r="M520" s="3" t="str">
        <f>HYPERLINK("..\..\Imagery\ScannedPhotos\1980\CG80-147.jpg")</f>
        <v>..\..\Imagery\ScannedPhotos\1980\CG80-147.jpg</v>
      </c>
    </row>
    <row r="521" spans="1:13" x14ac:dyDescent="0.25">
      <c r="A521" t="s">
        <v>1501</v>
      </c>
      <c r="B521">
        <v>410611</v>
      </c>
      <c r="C521">
        <v>5995520</v>
      </c>
      <c r="D521">
        <v>21</v>
      </c>
      <c r="E521" t="s">
        <v>15</v>
      </c>
      <c r="F521" t="s">
        <v>1502</v>
      </c>
      <c r="G521">
        <v>2</v>
      </c>
      <c r="H521" t="s">
        <v>1156</v>
      </c>
      <c r="I521" t="s">
        <v>122</v>
      </c>
      <c r="J521" t="s">
        <v>95</v>
      </c>
      <c r="K521" t="s">
        <v>20</v>
      </c>
      <c r="L521" t="s">
        <v>1503</v>
      </c>
      <c r="M521" s="3" t="str">
        <f>HYPERLINK("..\..\Imagery\ScannedPhotos\1980\CG80-150.1.jpg")</f>
        <v>..\..\Imagery\ScannedPhotos\1980\CG80-150.1.jpg</v>
      </c>
    </row>
    <row r="522" spans="1:13" x14ac:dyDescent="0.25">
      <c r="A522" t="s">
        <v>1501</v>
      </c>
      <c r="B522">
        <v>410611</v>
      </c>
      <c r="C522">
        <v>5995520</v>
      </c>
      <c r="D522">
        <v>21</v>
      </c>
      <c r="E522" t="s">
        <v>15</v>
      </c>
      <c r="F522" t="s">
        <v>1504</v>
      </c>
      <c r="G522">
        <v>2</v>
      </c>
      <c r="H522" t="s">
        <v>1156</v>
      </c>
      <c r="I522" t="s">
        <v>126</v>
      </c>
      <c r="J522" t="s">
        <v>95</v>
      </c>
      <c r="K522" t="s">
        <v>20</v>
      </c>
      <c r="L522" t="s">
        <v>1503</v>
      </c>
      <c r="M522" s="3" t="str">
        <f>HYPERLINK("..\..\Imagery\ScannedPhotos\1980\CG80-150.2.jpg")</f>
        <v>..\..\Imagery\ScannedPhotos\1980\CG80-150.2.jpg</v>
      </c>
    </row>
    <row r="523" spans="1:13" x14ac:dyDescent="0.25">
      <c r="A523" t="s">
        <v>1505</v>
      </c>
      <c r="B523">
        <v>569136</v>
      </c>
      <c r="C523">
        <v>5884409</v>
      </c>
      <c r="D523">
        <v>21</v>
      </c>
      <c r="E523" t="s">
        <v>15</v>
      </c>
      <c r="F523" t="s">
        <v>1506</v>
      </c>
      <c r="G523">
        <v>7</v>
      </c>
      <c r="H523" t="s">
        <v>1507</v>
      </c>
      <c r="I523" t="s">
        <v>143</v>
      </c>
      <c r="J523" t="s">
        <v>1508</v>
      </c>
      <c r="K523" t="s">
        <v>20</v>
      </c>
      <c r="L523" t="s">
        <v>1031</v>
      </c>
      <c r="M523" s="3" t="str">
        <f>HYPERLINK("..\..\Imagery\ScannedPhotos\1985\GM85-497.2.jpg")</f>
        <v>..\..\Imagery\ScannedPhotos\1985\GM85-497.2.jpg</v>
      </c>
    </row>
    <row r="524" spans="1:13" x14ac:dyDescent="0.25">
      <c r="A524" t="s">
        <v>1505</v>
      </c>
      <c r="B524">
        <v>569136</v>
      </c>
      <c r="C524">
        <v>5884409</v>
      </c>
      <c r="D524">
        <v>21</v>
      </c>
      <c r="E524" t="s">
        <v>15</v>
      </c>
      <c r="F524" t="s">
        <v>1509</v>
      </c>
      <c r="G524">
        <v>7</v>
      </c>
      <c r="H524" t="s">
        <v>1507</v>
      </c>
      <c r="I524" t="s">
        <v>47</v>
      </c>
      <c r="J524" t="s">
        <v>1508</v>
      </c>
      <c r="K524" t="s">
        <v>20</v>
      </c>
      <c r="L524" t="s">
        <v>1510</v>
      </c>
      <c r="M524" s="3" t="str">
        <f>HYPERLINK("..\..\Imagery\ScannedPhotos\1985\GM85-497.4.jpg")</f>
        <v>..\..\Imagery\ScannedPhotos\1985\GM85-497.4.jpg</v>
      </c>
    </row>
    <row r="525" spans="1:13" x14ac:dyDescent="0.25">
      <c r="A525" t="s">
        <v>1511</v>
      </c>
      <c r="B525">
        <v>566520</v>
      </c>
      <c r="C525">
        <v>5749135</v>
      </c>
      <c r="D525">
        <v>21</v>
      </c>
      <c r="E525" t="s">
        <v>15</v>
      </c>
      <c r="F525" t="s">
        <v>1512</v>
      </c>
      <c r="G525">
        <v>6</v>
      </c>
      <c r="H525" t="s">
        <v>1513</v>
      </c>
      <c r="I525" t="s">
        <v>119</v>
      </c>
      <c r="J525" t="s">
        <v>1514</v>
      </c>
      <c r="K525" t="s">
        <v>20</v>
      </c>
      <c r="L525" t="s">
        <v>1515</v>
      </c>
      <c r="M525" s="3" t="str">
        <f>HYPERLINK("..\..\Imagery\ScannedPhotos\1993\CG93-455.1.jpg")</f>
        <v>..\..\Imagery\ScannedPhotos\1993\CG93-455.1.jpg</v>
      </c>
    </row>
    <row r="526" spans="1:13" x14ac:dyDescent="0.25">
      <c r="A526" t="s">
        <v>1516</v>
      </c>
      <c r="B526">
        <v>465282</v>
      </c>
      <c r="C526">
        <v>6030482</v>
      </c>
      <c r="D526">
        <v>21</v>
      </c>
      <c r="E526" t="s">
        <v>15</v>
      </c>
      <c r="F526" t="s">
        <v>1517</v>
      </c>
      <c r="G526">
        <v>4</v>
      </c>
      <c r="H526" t="s">
        <v>1518</v>
      </c>
      <c r="I526" t="s">
        <v>147</v>
      </c>
      <c r="J526" t="s">
        <v>48</v>
      </c>
      <c r="K526" t="s">
        <v>20</v>
      </c>
      <c r="L526" t="s">
        <v>1519</v>
      </c>
      <c r="M526" s="3" t="str">
        <f>HYPERLINK("..\..\Imagery\ScannedPhotos\1982\CG82-027.2.jpg")</f>
        <v>..\..\Imagery\ScannedPhotos\1982\CG82-027.2.jpg</v>
      </c>
    </row>
    <row r="527" spans="1:13" x14ac:dyDescent="0.25">
      <c r="A527" t="s">
        <v>1520</v>
      </c>
      <c r="B527">
        <v>485463</v>
      </c>
      <c r="C527">
        <v>5927922</v>
      </c>
      <c r="D527">
        <v>21</v>
      </c>
      <c r="E527" t="s">
        <v>15</v>
      </c>
      <c r="F527" t="s">
        <v>1521</v>
      </c>
      <c r="G527">
        <v>3</v>
      </c>
      <c r="H527" t="s">
        <v>632</v>
      </c>
      <c r="I527" t="s">
        <v>35</v>
      </c>
      <c r="J527" t="s">
        <v>633</v>
      </c>
      <c r="K527" t="s">
        <v>20</v>
      </c>
      <c r="L527" t="s">
        <v>1522</v>
      </c>
      <c r="M527" s="3" t="str">
        <f>HYPERLINK("..\..\Imagery\ScannedPhotos\1977\MC77-079.3.jpg")</f>
        <v>..\..\Imagery\ScannedPhotos\1977\MC77-079.3.jpg</v>
      </c>
    </row>
    <row r="528" spans="1:13" x14ac:dyDescent="0.25">
      <c r="A528" t="s">
        <v>1520</v>
      </c>
      <c r="B528">
        <v>485463</v>
      </c>
      <c r="C528">
        <v>5927922</v>
      </c>
      <c r="D528">
        <v>21</v>
      </c>
      <c r="E528" t="s">
        <v>15</v>
      </c>
      <c r="F528" t="s">
        <v>1523</v>
      </c>
      <c r="G528">
        <v>3</v>
      </c>
      <c r="H528" t="s">
        <v>632</v>
      </c>
      <c r="I528" t="s">
        <v>281</v>
      </c>
      <c r="J528" t="s">
        <v>633</v>
      </c>
      <c r="K528" t="s">
        <v>20</v>
      </c>
      <c r="L528" t="s">
        <v>1522</v>
      </c>
      <c r="M528" s="3" t="str">
        <f>HYPERLINK("..\..\Imagery\ScannedPhotos\1977\MC77-079.1.jpg")</f>
        <v>..\..\Imagery\ScannedPhotos\1977\MC77-079.1.jpg</v>
      </c>
    </row>
    <row r="529" spans="1:13" x14ac:dyDescent="0.25">
      <c r="A529" t="s">
        <v>1520</v>
      </c>
      <c r="B529">
        <v>485463</v>
      </c>
      <c r="C529">
        <v>5927922</v>
      </c>
      <c r="D529">
        <v>21</v>
      </c>
      <c r="E529" t="s">
        <v>15</v>
      </c>
      <c r="F529" t="s">
        <v>1524</v>
      </c>
      <c r="G529">
        <v>3</v>
      </c>
      <c r="H529" t="s">
        <v>632</v>
      </c>
      <c r="I529" t="s">
        <v>137</v>
      </c>
      <c r="J529" t="s">
        <v>633</v>
      </c>
      <c r="K529" t="s">
        <v>20</v>
      </c>
      <c r="L529" t="s">
        <v>1522</v>
      </c>
      <c r="M529" s="3" t="str">
        <f>HYPERLINK("..\..\Imagery\ScannedPhotos\1977\MC77-079.2.jpg")</f>
        <v>..\..\Imagery\ScannedPhotos\1977\MC77-079.2.jpg</v>
      </c>
    </row>
    <row r="530" spans="1:13" x14ac:dyDescent="0.25">
      <c r="A530" t="s">
        <v>1525</v>
      </c>
      <c r="B530">
        <v>414155</v>
      </c>
      <c r="C530">
        <v>5788452</v>
      </c>
      <c r="D530">
        <v>21</v>
      </c>
      <c r="E530" t="s">
        <v>15</v>
      </c>
      <c r="F530" t="s">
        <v>1526</v>
      </c>
      <c r="G530">
        <v>2</v>
      </c>
      <c r="H530" t="s">
        <v>766</v>
      </c>
      <c r="I530" t="s">
        <v>119</v>
      </c>
      <c r="J530" t="s">
        <v>767</v>
      </c>
      <c r="K530" t="s">
        <v>228</v>
      </c>
      <c r="L530" t="s">
        <v>1527</v>
      </c>
      <c r="M530" s="3" t="str">
        <f>HYPERLINK("..\..\Imagery\ScannedPhotos\1999\CG99-066.1.jpg")</f>
        <v>..\..\Imagery\ScannedPhotos\1999\CG99-066.1.jpg</v>
      </c>
    </row>
    <row r="531" spans="1:13" x14ac:dyDescent="0.25">
      <c r="A531" t="s">
        <v>1528</v>
      </c>
      <c r="B531">
        <v>550169</v>
      </c>
      <c r="C531">
        <v>5818523</v>
      </c>
      <c r="D531">
        <v>21</v>
      </c>
      <c r="E531" t="s">
        <v>15</v>
      </c>
      <c r="F531" t="s">
        <v>1529</v>
      </c>
      <c r="G531">
        <v>2</v>
      </c>
      <c r="K531" t="s">
        <v>20</v>
      </c>
      <c r="L531" t="s">
        <v>1530</v>
      </c>
      <c r="M531" s="3" t="str">
        <f>HYPERLINK("..\..\Imagery\ScannedPhotos\2003\CG03-215.2.jpg")</f>
        <v>..\..\Imagery\ScannedPhotos\2003\CG03-215.2.jpg</v>
      </c>
    </row>
    <row r="532" spans="1:13" x14ac:dyDescent="0.25">
      <c r="A532" t="s">
        <v>1531</v>
      </c>
      <c r="B532">
        <v>549585</v>
      </c>
      <c r="C532">
        <v>5819464</v>
      </c>
      <c r="D532">
        <v>21</v>
      </c>
      <c r="E532" t="s">
        <v>15</v>
      </c>
      <c r="F532" t="s">
        <v>1532</v>
      </c>
      <c r="G532">
        <v>1</v>
      </c>
      <c r="K532" t="s">
        <v>228</v>
      </c>
      <c r="L532" t="s">
        <v>1533</v>
      </c>
      <c r="M532" s="3" t="str">
        <f>HYPERLINK("..\..\Imagery\ScannedPhotos\2003\CG03-217.jpg")</f>
        <v>..\..\Imagery\ScannedPhotos\2003\CG03-217.jpg</v>
      </c>
    </row>
    <row r="533" spans="1:13" x14ac:dyDescent="0.25">
      <c r="A533" t="s">
        <v>1534</v>
      </c>
      <c r="B533">
        <v>548675</v>
      </c>
      <c r="C533">
        <v>5820178</v>
      </c>
      <c r="D533">
        <v>21</v>
      </c>
      <c r="E533" t="s">
        <v>15</v>
      </c>
      <c r="F533" t="s">
        <v>1535</v>
      </c>
      <c r="G533">
        <v>1</v>
      </c>
      <c r="K533" t="s">
        <v>20</v>
      </c>
      <c r="L533" t="s">
        <v>1536</v>
      </c>
      <c r="M533" s="3" t="str">
        <f>HYPERLINK("..\..\Imagery\ScannedPhotos\2003\CG03-220.jpg")</f>
        <v>..\..\Imagery\ScannedPhotos\2003\CG03-220.jpg</v>
      </c>
    </row>
    <row r="534" spans="1:13" x14ac:dyDescent="0.25">
      <c r="A534" t="s">
        <v>1537</v>
      </c>
      <c r="B534">
        <v>545718</v>
      </c>
      <c r="C534">
        <v>5825032</v>
      </c>
      <c r="D534">
        <v>21</v>
      </c>
      <c r="E534" t="s">
        <v>15</v>
      </c>
      <c r="F534" t="s">
        <v>1538</v>
      </c>
      <c r="G534">
        <v>1</v>
      </c>
      <c r="K534" t="s">
        <v>20</v>
      </c>
      <c r="L534" t="s">
        <v>1539</v>
      </c>
      <c r="M534" s="3" t="str">
        <f>HYPERLINK("..\..\Imagery\ScannedPhotos\2003\CG03-227.jpg")</f>
        <v>..\..\Imagery\ScannedPhotos\2003\CG03-227.jpg</v>
      </c>
    </row>
    <row r="535" spans="1:13" x14ac:dyDescent="0.25">
      <c r="A535" t="s">
        <v>1540</v>
      </c>
      <c r="B535">
        <v>543840</v>
      </c>
      <c r="C535">
        <v>5826055</v>
      </c>
      <c r="D535">
        <v>21</v>
      </c>
      <c r="E535" t="s">
        <v>15</v>
      </c>
      <c r="F535" t="s">
        <v>1541</v>
      </c>
      <c r="G535">
        <v>1</v>
      </c>
      <c r="K535" t="s">
        <v>56</v>
      </c>
      <c r="L535" t="s">
        <v>1542</v>
      </c>
      <c r="M535" s="3" t="str">
        <f>HYPERLINK("..\..\Imagery\ScannedPhotos\2003\CG03-230.jpg")</f>
        <v>..\..\Imagery\ScannedPhotos\2003\CG03-230.jpg</v>
      </c>
    </row>
    <row r="536" spans="1:13" x14ac:dyDescent="0.25">
      <c r="A536" t="s">
        <v>1543</v>
      </c>
      <c r="B536">
        <v>543438</v>
      </c>
      <c r="C536">
        <v>5826149</v>
      </c>
      <c r="D536">
        <v>21</v>
      </c>
      <c r="E536" t="s">
        <v>15</v>
      </c>
      <c r="F536" t="s">
        <v>1544</v>
      </c>
      <c r="G536">
        <v>1</v>
      </c>
      <c r="K536" t="s">
        <v>56</v>
      </c>
      <c r="L536" t="s">
        <v>1542</v>
      </c>
      <c r="M536" s="3" t="str">
        <f>HYPERLINK("..\..\Imagery\ScannedPhotos\2003\CG03-231.jpg")</f>
        <v>..\..\Imagery\ScannedPhotos\2003\CG03-231.jpg</v>
      </c>
    </row>
    <row r="537" spans="1:13" x14ac:dyDescent="0.25">
      <c r="A537" t="s">
        <v>1545</v>
      </c>
      <c r="B537">
        <v>564145</v>
      </c>
      <c r="C537">
        <v>5808513</v>
      </c>
      <c r="D537">
        <v>21</v>
      </c>
      <c r="E537" t="s">
        <v>15</v>
      </c>
      <c r="F537" t="s">
        <v>1546</v>
      </c>
      <c r="G537">
        <v>1</v>
      </c>
      <c r="K537" t="s">
        <v>56</v>
      </c>
      <c r="L537" t="s">
        <v>1547</v>
      </c>
      <c r="M537" s="3" t="str">
        <f>HYPERLINK("..\..\Imagery\ScannedPhotos\2003\CG03-250.jpg")</f>
        <v>..\..\Imagery\ScannedPhotos\2003\CG03-250.jpg</v>
      </c>
    </row>
    <row r="538" spans="1:13" x14ac:dyDescent="0.25">
      <c r="A538" t="s">
        <v>1548</v>
      </c>
      <c r="B538">
        <v>565653</v>
      </c>
      <c r="C538">
        <v>5808119</v>
      </c>
      <c r="D538">
        <v>21</v>
      </c>
      <c r="E538" t="s">
        <v>15</v>
      </c>
      <c r="F538" t="s">
        <v>1549</v>
      </c>
      <c r="G538">
        <v>1</v>
      </c>
      <c r="K538" t="s">
        <v>56</v>
      </c>
      <c r="L538" t="s">
        <v>1550</v>
      </c>
      <c r="M538" s="3" t="str">
        <f>HYPERLINK("..\..\Imagery\ScannedPhotos\2003\CG03-252.jpg")</f>
        <v>..\..\Imagery\ScannedPhotos\2003\CG03-252.jpg</v>
      </c>
    </row>
    <row r="539" spans="1:13" x14ac:dyDescent="0.25">
      <c r="A539" t="s">
        <v>1551</v>
      </c>
      <c r="B539">
        <v>574344</v>
      </c>
      <c r="C539">
        <v>5807630</v>
      </c>
      <c r="D539">
        <v>21</v>
      </c>
      <c r="E539" t="s">
        <v>15</v>
      </c>
      <c r="F539" t="s">
        <v>1552</v>
      </c>
      <c r="G539">
        <v>4</v>
      </c>
      <c r="K539" t="s">
        <v>935</v>
      </c>
      <c r="L539" t="s">
        <v>1553</v>
      </c>
      <c r="M539" s="3" t="str">
        <f>HYPERLINK("..\..\Imagery\ScannedPhotos\2003\CG03-273.1.jpg")</f>
        <v>..\..\Imagery\ScannedPhotos\2003\CG03-273.1.jpg</v>
      </c>
    </row>
    <row r="540" spans="1:13" x14ac:dyDescent="0.25">
      <c r="A540" t="s">
        <v>1551</v>
      </c>
      <c r="B540">
        <v>574344</v>
      </c>
      <c r="C540">
        <v>5807630</v>
      </c>
      <c r="D540">
        <v>21</v>
      </c>
      <c r="E540" t="s">
        <v>15</v>
      </c>
      <c r="F540" t="s">
        <v>1554</v>
      </c>
      <c r="G540">
        <v>4</v>
      </c>
      <c r="K540" t="s">
        <v>935</v>
      </c>
      <c r="L540" t="s">
        <v>1555</v>
      </c>
      <c r="M540" s="3" t="str">
        <f>HYPERLINK("..\..\Imagery\ScannedPhotos\2003\CG03-273.2.jpg")</f>
        <v>..\..\Imagery\ScannedPhotos\2003\CG03-273.2.jpg</v>
      </c>
    </row>
    <row r="541" spans="1:13" x14ac:dyDescent="0.25">
      <c r="A541" t="s">
        <v>1551</v>
      </c>
      <c r="B541">
        <v>574344</v>
      </c>
      <c r="C541">
        <v>5807630</v>
      </c>
      <c r="D541">
        <v>21</v>
      </c>
      <c r="E541" t="s">
        <v>15</v>
      </c>
      <c r="F541" t="s">
        <v>1556</v>
      </c>
      <c r="G541">
        <v>4</v>
      </c>
      <c r="K541" t="s">
        <v>935</v>
      </c>
      <c r="L541" t="s">
        <v>1557</v>
      </c>
      <c r="M541" s="3" t="str">
        <f>HYPERLINK("..\..\Imagery\ScannedPhotos\2003\CG03-273.3.jpg")</f>
        <v>..\..\Imagery\ScannedPhotos\2003\CG03-273.3.jpg</v>
      </c>
    </row>
    <row r="542" spans="1:13" x14ac:dyDescent="0.25">
      <c r="A542" t="s">
        <v>1551</v>
      </c>
      <c r="B542">
        <v>574344</v>
      </c>
      <c r="C542">
        <v>5807630</v>
      </c>
      <c r="D542">
        <v>21</v>
      </c>
      <c r="E542" t="s">
        <v>15</v>
      </c>
      <c r="F542" t="s">
        <v>1558</v>
      </c>
      <c r="G542">
        <v>4</v>
      </c>
      <c r="K542" t="s">
        <v>935</v>
      </c>
      <c r="L542" t="s">
        <v>1559</v>
      </c>
      <c r="M542" s="3" t="str">
        <f>HYPERLINK("..\..\Imagery\ScannedPhotos\2003\CG03-273.4.jpg")</f>
        <v>..\..\Imagery\ScannedPhotos\2003\CG03-273.4.jpg</v>
      </c>
    </row>
    <row r="543" spans="1:13" x14ac:dyDescent="0.25">
      <c r="A543" t="s">
        <v>1560</v>
      </c>
      <c r="B543">
        <v>576546</v>
      </c>
      <c r="C543">
        <v>5807550</v>
      </c>
      <c r="D543">
        <v>21</v>
      </c>
      <c r="E543" t="s">
        <v>15</v>
      </c>
      <c r="F543" t="s">
        <v>1561</v>
      </c>
      <c r="G543">
        <v>1</v>
      </c>
      <c r="K543" t="s">
        <v>56</v>
      </c>
      <c r="L543" t="s">
        <v>1562</v>
      </c>
      <c r="M543" s="3" t="str">
        <f>HYPERLINK("..\..\Imagery\ScannedPhotos\2003\CG03-276.jpg")</f>
        <v>..\..\Imagery\ScannedPhotos\2003\CG03-276.jpg</v>
      </c>
    </row>
    <row r="544" spans="1:13" x14ac:dyDescent="0.25">
      <c r="A544" t="s">
        <v>1563</v>
      </c>
      <c r="B544">
        <v>479344</v>
      </c>
      <c r="C544">
        <v>5935027</v>
      </c>
      <c r="D544">
        <v>21</v>
      </c>
      <c r="E544" t="s">
        <v>15</v>
      </c>
      <c r="F544" t="s">
        <v>1564</v>
      </c>
      <c r="G544">
        <v>1</v>
      </c>
      <c r="H544" t="s">
        <v>107</v>
      </c>
      <c r="I544" t="s">
        <v>69</v>
      </c>
      <c r="J544" t="s">
        <v>48</v>
      </c>
      <c r="K544" t="s">
        <v>20</v>
      </c>
      <c r="L544" t="s">
        <v>1565</v>
      </c>
      <c r="M544" s="3" t="str">
        <f>HYPERLINK("..\..\Imagery\ScannedPhotos\1981\CG81-150.jpg")</f>
        <v>..\..\Imagery\ScannedPhotos\1981\CG81-150.jpg</v>
      </c>
    </row>
    <row r="545" spans="1:13" x14ac:dyDescent="0.25">
      <c r="A545" t="s">
        <v>1566</v>
      </c>
      <c r="B545">
        <v>478738</v>
      </c>
      <c r="C545">
        <v>5933402</v>
      </c>
      <c r="D545">
        <v>21</v>
      </c>
      <c r="E545" t="s">
        <v>15</v>
      </c>
      <c r="F545" t="s">
        <v>1567</v>
      </c>
      <c r="G545">
        <v>1</v>
      </c>
      <c r="H545" t="s">
        <v>107</v>
      </c>
      <c r="I545" t="s">
        <v>74</v>
      </c>
      <c r="J545" t="s">
        <v>48</v>
      </c>
      <c r="K545" t="s">
        <v>20</v>
      </c>
      <c r="L545" t="s">
        <v>1568</v>
      </c>
      <c r="M545" s="3" t="str">
        <f>HYPERLINK("..\..\Imagery\ScannedPhotos\1981\CG81-154.jpg")</f>
        <v>..\..\Imagery\ScannedPhotos\1981\CG81-154.jpg</v>
      </c>
    </row>
    <row r="546" spans="1:13" x14ac:dyDescent="0.25">
      <c r="A546" t="s">
        <v>1569</v>
      </c>
      <c r="B546">
        <v>485917</v>
      </c>
      <c r="C546">
        <v>5842883</v>
      </c>
      <c r="D546">
        <v>21</v>
      </c>
      <c r="E546" t="s">
        <v>15</v>
      </c>
      <c r="F546" t="s">
        <v>1570</v>
      </c>
      <c r="G546">
        <v>3</v>
      </c>
      <c r="H546" t="s">
        <v>1128</v>
      </c>
      <c r="I546" t="s">
        <v>108</v>
      </c>
      <c r="J546" t="s">
        <v>1129</v>
      </c>
      <c r="K546" t="s">
        <v>20</v>
      </c>
      <c r="L546" t="s">
        <v>1571</v>
      </c>
      <c r="M546" s="3" t="str">
        <f>HYPERLINK("..\..\Imagery\ScannedPhotos\1991\VN91-114.3.jpg")</f>
        <v>..\..\Imagery\ScannedPhotos\1991\VN91-114.3.jpg</v>
      </c>
    </row>
    <row r="547" spans="1:13" x14ac:dyDescent="0.25">
      <c r="A547" t="s">
        <v>1572</v>
      </c>
      <c r="B547">
        <v>570310</v>
      </c>
      <c r="C547">
        <v>5784110</v>
      </c>
      <c r="D547">
        <v>21</v>
      </c>
      <c r="E547" t="s">
        <v>15</v>
      </c>
      <c r="F547" t="s">
        <v>1573</v>
      </c>
      <c r="G547">
        <v>3</v>
      </c>
      <c r="K547" t="s">
        <v>20</v>
      </c>
      <c r="L547" t="s">
        <v>1574</v>
      </c>
      <c r="M547" s="3" t="str">
        <f>HYPERLINK("..\..\Imagery\ScannedPhotos\2003\CG03-113.2.jpg")</f>
        <v>..\..\Imagery\ScannedPhotos\2003\CG03-113.2.jpg</v>
      </c>
    </row>
    <row r="548" spans="1:13" x14ac:dyDescent="0.25">
      <c r="A548" t="s">
        <v>1575</v>
      </c>
      <c r="B548">
        <v>566632</v>
      </c>
      <c r="C548">
        <v>5918068</v>
      </c>
      <c r="D548">
        <v>21</v>
      </c>
      <c r="E548" t="s">
        <v>15</v>
      </c>
      <c r="F548" t="s">
        <v>1576</v>
      </c>
      <c r="G548">
        <v>2</v>
      </c>
      <c r="H548" t="s">
        <v>1577</v>
      </c>
      <c r="I548" t="s">
        <v>52</v>
      </c>
      <c r="J548" t="s">
        <v>1374</v>
      </c>
      <c r="K548" t="s">
        <v>56</v>
      </c>
      <c r="L548" t="s">
        <v>1578</v>
      </c>
      <c r="M548" s="3" t="str">
        <f>HYPERLINK("..\..\Imagery\ScannedPhotos\1985\GM85-642.1.jpg")</f>
        <v>..\..\Imagery\ScannedPhotos\1985\GM85-642.1.jpg</v>
      </c>
    </row>
    <row r="549" spans="1:13" x14ac:dyDescent="0.25">
      <c r="A549" t="s">
        <v>1575</v>
      </c>
      <c r="B549">
        <v>566632</v>
      </c>
      <c r="C549">
        <v>5918068</v>
      </c>
      <c r="D549">
        <v>21</v>
      </c>
      <c r="E549" t="s">
        <v>15</v>
      </c>
      <c r="F549" t="s">
        <v>1579</v>
      </c>
      <c r="G549">
        <v>2</v>
      </c>
      <c r="H549" t="s">
        <v>1577</v>
      </c>
      <c r="I549" t="s">
        <v>65</v>
      </c>
      <c r="J549" t="s">
        <v>1374</v>
      </c>
      <c r="K549" t="s">
        <v>56</v>
      </c>
      <c r="L549" t="s">
        <v>1578</v>
      </c>
      <c r="M549" s="3" t="str">
        <f>HYPERLINK("..\..\Imagery\ScannedPhotos\1985\GM85-642.2.jpg")</f>
        <v>..\..\Imagery\ScannedPhotos\1985\GM85-642.2.jpg</v>
      </c>
    </row>
    <row r="550" spans="1:13" x14ac:dyDescent="0.25">
      <c r="A550" t="s">
        <v>1580</v>
      </c>
      <c r="B550">
        <v>566412</v>
      </c>
      <c r="C550">
        <v>5934278</v>
      </c>
      <c r="D550">
        <v>21</v>
      </c>
      <c r="E550" t="s">
        <v>15</v>
      </c>
      <c r="F550" t="s">
        <v>1581</v>
      </c>
      <c r="G550">
        <v>6</v>
      </c>
      <c r="H550" t="s">
        <v>1582</v>
      </c>
      <c r="I550" t="s">
        <v>137</v>
      </c>
      <c r="J550" t="s">
        <v>1583</v>
      </c>
      <c r="K550" t="s">
        <v>20</v>
      </c>
      <c r="L550" t="s">
        <v>1584</v>
      </c>
      <c r="M550" s="3" t="str">
        <f>HYPERLINK("..\..\Imagery\ScannedPhotos\1985\GM85-649.4.jpg")</f>
        <v>..\..\Imagery\ScannedPhotos\1985\GM85-649.4.jpg</v>
      </c>
    </row>
    <row r="551" spans="1:13" x14ac:dyDescent="0.25">
      <c r="A551" t="s">
        <v>1580</v>
      </c>
      <c r="B551">
        <v>566412</v>
      </c>
      <c r="C551">
        <v>5934278</v>
      </c>
      <c r="D551">
        <v>21</v>
      </c>
      <c r="E551" t="s">
        <v>15</v>
      </c>
      <c r="F551" t="s">
        <v>1585</v>
      </c>
      <c r="G551">
        <v>6</v>
      </c>
      <c r="H551" t="s">
        <v>1582</v>
      </c>
      <c r="I551" t="s">
        <v>294</v>
      </c>
      <c r="J551" t="s">
        <v>1583</v>
      </c>
      <c r="K551" t="s">
        <v>20</v>
      </c>
      <c r="L551" t="s">
        <v>1586</v>
      </c>
      <c r="M551" s="3" t="str">
        <f>HYPERLINK("..\..\Imagery\ScannedPhotos\1985\GM85-649.1.jpg")</f>
        <v>..\..\Imagery\ScannedPhotos\1985\GM85-649.1.jpg</v>
      </c>
    </row>
    <row r="552" spans="1:13" x14ac:dyDescent="0.25">
      <c r="A552" t="s">
        <v>1580</v>
      </c>
      <c r="B552">
        <v>566412</v>
      </c>
      <c r="C552">
        <v>5934278</v>
      </c>
      <c r="D552">
        <v>21</v>
      </c>
      <c r="E552" t="s">
        <v>15</v>
      </c>
      <c r="F552" t="s">
        <v>1587</v>
      </c>
      <c r="G552">
        <v>6</v>
      </c>
      <c r="H552" t="s">
        <v>1582</v>
      </c>
      <c r="I552" t="s">
        <v>79</v>
      </c>
      <c r="J552" t="s">
        <v>1583</v>
      </c>
      <c r="K552" t="s">
        <v>20</v>
      </c>
      <c r="L552" t="s">
        <v>1586</v>
      </c>
      <c r="M552" s="3" t="str">
        <f>HYPERLINK("..\..\Imagery\ScannedPhotos\1985\GM85-649.2.jpg")</f>
        <v>..\..\Imagery\ScannedPhotos\1985\GM85-649.2.jpg</v>
      </c>
    </row>
    <row r="553" spans="1:13" x14ac:dyDescent="0.25">
      <c r="A553" t="s">
        <v>1580</v>
      </c>
      <c r="B553">
        <v>566412</v>
      </c>
      <c r="C553">
        <v>5934278</v>
      </c>
      <c r="D553">
        <v>21</v>
      </c>
      <c r="E553" t="s">
        <v>15</v>
      </c>
      <c r="F553" t="s">
        <v>1588</v>
      </c>
      <c r="G553">
        <v>6</v>
      </c>
      <c r="H553" t="s">
        <v>1582</v>
      </c>
      <c r="I553" t="s">
        <v>281</v>
      </c>
      <c r="J553" t="s">
        <v>1583</v>
      </c>
      <c r="K553" t="s">
        <v>20</v>
      </c>
      <c r="L553" t="s">
        <v>116</v>
      </c>
      <c r="M553" s="3" t="str">
        <f>HYPERLINK("..\..\Imagery\ScannedPhotos\1985\GM85-649.3.jpg")</f>
        <v>..\..\Imagery\ScannedPhotos\1985\GM85-649.3.jpg</v>
      </c>
    </row>
    <row r="554" spans="1:13" x14ac:dyDescent="0.25">
      <c r="A554" t="s">
        <v>1580</v>
      </c>
      <c r="B554">
        <v>566412</v>
      </c>
      <c r="C554">
        <v>5934278</v>
      </c>
      <c r="D554">
        <v>21</v>
      </c>
      <c r="E554" t="s">
        <v>15</v>
      </c>
      <c r="F554" t="s">
        <v>1589</v>
      </c>
      <c r="G554">
        <v>6</v>
      </c>
      <c r="H554" t="s">
        <v>1582</v>
      </c>
      <c r="I554" t="s">
        <v>18</v>
      </c>
      <c r="J554" t="s">
        <v>1583</v>
      </c>
      <c r="K554" t="s">
        <v>20</v>
      </c>
      <c r="L554" t="s">
        <v>1590</v>
      </c>
      <c r="M554" s="3" t="str">
        <f>HYPERLINK("..\..\Imagery\ScannedPhotos\1985\GM85-649.5.jpg")</f>
        <v>..\..\Imagery\ScannedPhotos\1985\GM85-649.5.jpg</v>
      </c>
    </row>
    <row r="555" spans="1:13" x14ac:dyDescent="0.25">
      <c r="A555" t="s">
        <v>1591</v>
      </c>
      <c r="B555">
        <v>398164</v>
      </c>
      <c r="C555">
        <v>6005461</v>
      </c>
      <c r="D555">
        <v>21</v>
      </c>
      <c r="E555" t="s">
        <v>15</v>
      </c>
      <c r="F555" t="s">
        <v>1592</v>
      </c>
      <c r="G555">
        <v>3</v>
      </c>
      <c r="H555" t="s">
        <v>1593</v>
      </c>
      <c r="I555" t="s">
        <v>122</v>
      </c>
      <c r="J555" t="s">
        <v>1594</v>
      </c>
      <c r="K555" t="s">
        <v>20</v>
      </c>
      <c r="L555" t="s">
        <v>1595</v>
      </c>
      <c r="M555" s="3" t="str">
        <f>HYPERLINK("..\..\Imagery\ScannedPhotos\1980\NN80-026.1.jpg")</f>
        <v>..\..\Imagery\ScannedPhotos\1980\NN80-026.1.jpg</v>
      </c>
    </row>
    <row r="556" spans="1:13" x14ac:dyDescent="0.25">
      <c r="A556" t="s">
        <v>1596</v>
      </c>
      <c r="B556">
        <v>412300</v>
      </c>
      <c r="C556">
        <v>6004100</v>
      </c>
      <c r="D556">
        <v>21</v>
      </c>
      <c r="E556" t="s">
        <v>15</v>
      </c>
      <c r="F556" t="s">
        <v>1597</v>
      </c>
      <c r="G556">
        <v>1</v>
      </c>
      <c r="H556" t="s">
        <v>651</v>
      </c>
      <c r="I556" t="s">
        <v>35</v>
      </c>
      <c r="J556" t="s">
        <v>652</v>
      </c>
      <c r="K556" t="s">
        <v>20</v>
      </c>
      <c r="L556" t="s">
        <v>1598</v>
      </c>
      <c r="M556" s="3" t="str">
        <f>HYPERLINK("..\..\Imagery\ScannedPhotos\1980\NN80-040.jpg")</f>
        <v>..\..\Imagery\ScannedPhotos\1980\NN80-040.jpg</v>
      </c>
    </row>
    <row r="557" spans="1:13" x14ac:dyDescent="0.25">
      <c r="A557" t="s">
        <v>1599</v>
      </c>
      <c r="B557">
        <v>390756</v>
      </c>
      <c r="C557">
        <v>6000731</v>
      </c>
      <c r="D557">
        <v>21</v>
      </c>
      <c r="E557" t="s">
        <v>15</v>
      </c>
      <c r="F557" t="s">
        <v>1600</v>
      </c>
      <c r="G557">
        <v>1</v>
      </c>
      <c r="H557" t="s">
        <v>651</v>
      </c>
      <c r="I557" t="s">
        <v>85</v>
      </c>
      <c r="J557" t="s">
        <v>652</v>
      </c>
      <c r="K557" t="s">
        <v>20</v>
      </c>
      <c r="L557" t="s">
        <v>1601</v>
      </c>
      <c r="M557" s="3" t="str">
        <f>HYPERLINK("..\..\Imagery\ScannedPhotos\1980\NN80-055.jpg")</f>
        <v>..\..\Imagery\ScannedPhotos\1980\NN80-055.jpg</v>
      </c>
    </row>
    <row r="558" spans="1:13" x14ac:dyDescent="0.25">
      <c r="A558" t="s">
        <v>1602</v>
      </c>
      <c r="B558">
        <v>575405</v>
      </c>
      <c r="C558">
        <v>5929596</v>
      </c>
      <c r="D558">
        <v>21</v>
      </c>
      <c r="E558" t="s">
        <v>15</v>
      </c>
      <c r="F558" t="s">
        <v>1603</v>
      </c>
      <c r="G558">
        <v>6</v>
      </c>
      <c r="H558" t="s">
        <v>1604</v>
      </c>
      <c r="I558" t="s">
        <v>647</v>
      </c>
      <c r="J558" t="s">
        <v>1605</v>
      </c>
      <c r="K558" t="s">
        <v>20</v>
      </c>
      <c r="L558" t="s">
        <v>1606</v>
      </c>
      <c r="M558" s="3" t="str">
        <f>HYPERLINK("..\..\Imagery\ScannedPhotos\1985\CG85-418.4.jpg")</f>
        <v>..\..\Imagery\ScannedPhotos\1985\CG85-418.4.jpg</v>
      </c>
    </row>
    <row r="559" spans="1:13" x14ac:dyDescent="0.25">
      <c r="A559" t="s">
        <v>1602</v>
      </c>
      <c r="B559">
        <v>575405</v>
      </c>
      <c r="C559">
        <v>5929596</v>
      </c>
      <c r="D559">
        <v>21</v>
      </c>
      <c r="E559" t="s">
        <v>15</v>
      </c>
      <c r="F559" t="s">
        <v>1607</v>
      </c>
      <c r="G559">
        <v>6</v>
      </c>
      <c r="H559" t="s">
        <v>1604</v>
      </c>
      <c r="I559" t="s">
        <v>114</v>
      </c>
      <c r="J559" t="s">
        <v>1605</v>
      </c>
      <c r="K559" t="s">
        <v>56</v>
      </c>
      <c r="L559" t="s">
        <v>1608</v>
      </c>
      <c r="M559" s="3" t="str">
        <f>HYPERLINK("..\..\Imagery\ScannedPhotos\1985\CG85-418.6.jpg")</f>
        <v>..\..\Imagery\ScannedPhotos\1985\CG85-418.6.jpg</v>
      </c>
    </row>
    <row r="560" spans="1:13" x14ac:dyDescent="0.25">
      <c r="A560" t="s">
        <v>1609</v>
      </c>
      <c r="B560">
        <v>577239</v>
      </c>
      <c r="C560">
        <v>5875178</v>
      </c>
      <c r="D560">
        <v>21</v>
      </c>
      <c r="E560" t="s">
        <v>15</v>
      </c>
      <c r="F560" t="s">
        <v>1610</v>
      </c>
      <c r="G560">
        <v>1</v>
      </c>
      <c r="H560" t="s">
        <v>1013</v>
      </c>
      <c r="I560" t="s">
        <v>35</v>
      </c>
      <c r="J560" t="s">
        <v>1014</v>
      </c>
      <c r="K560" t="s">
        <v>20</v>
      </c>
      <c r="L560" t="s">
        <v>1611</v>
      </c>
      <c r="M560" s="3" t="str">
        <f>HYPERLINK("..\..\Imagery\ScannedPhotos\1985\CG85-447.jpg")</f>
        <v>..\..\Imagery\ScannedPhotos\1985\CG85-447.jpg</v>
      </c>
    </row>
    <row r="561" spans="1:13" x14ac:dyDescent="0.25">
      <c r="A561" t="s">
        <v>1612</v>
      </c>
      <c r="B561">
        <v>462216</v>
      </c>
      <c r="C561">
        <v>5837217</v>
      </c>
      <c r="D561">
        <v>21</v>
      </c>
      <c r="E561" t="s">
        <v>15</v>
      </c>
      <c r="F561" t="s">
        <v>1613</v>
      </c>
      <c r="G561">
        <v>8</v>
      </c>
      <c r="H561" t="s">
        <v>890</v>
      </c>
      <c r="I561" t="s">
        <v>30</v>
      </c>
      <c r="J561" t="s">
        <v>891</v>
      </c>
      <c r="K561" t="s">
        <v>20</v>
      </c>
      <c r="L561" t="s">
        <v>1614</v>
      </c>
      <c r="M561" s="3" t="str">
        <f>HYPERLINK("..\..\Imagery\ScannedPhotos\1991\VN91-233.2.jpg")</f>
        <v>..\..\Imagery\ScannedPhotos\1991\VN91-233.2.jpg</v>
      </c>
    </row>
    <row r="562" spans="1:13" x14ac:dyDescent="0.25">
      <c r="A562" t="s">
        <v>1612</v>
      </c>
      <c r="B562">
        <v>462216</v>
      </c>
      <c r="C562">
        <v>5837217</v>
      </c>
      <c r="D562">
        <v>21</v>
      </c>
      <c r="E562" t="s">
        <v>15</v>
      </c>
      <c r="F562" t="s">
        <v>1615</v>
      </c>
      <c r="G562">
        <v>8</v>
      </c>
      <c r="H562" t="s">
        <v>890</v>
      </c>
      <c r="I562" t="s">
        <v>647</v>
      </c>
      <c r="J562" t="s">
        <v>891</v>
      </c>
      <c r="K562" t="s">
        <v>56</v>
      </c>
      <c r="L562" t="s">
        <v>1614</v>
      </c>
      <c r="M562" s="3" t="str">
        <f>HYPERLINK("..\..\Imagery\ScannedPhotos\1991\VN91-233.1.jpg")</f>
        <v>..\..\Imagery\ScannedPhotos\1991\VN91-233.1.jpg</v>
      </c>
    </row>
    <row r="563" spans="1:13" x14ac:dyDescent="0.25">
      <c r="A563" t="s">
        <v>1616</v>
      </c>
      <c r="B563">
        <v>582127</v>
      </c>
      <c r="C563">
        <v>5770691</v>
      </c>
      <c r="D563">
        <v>21</v>
      </c>
      <c r="E563" t="s">
        <v>15</v>
      </c>
      <c r="F563" t="s">
        <v>1617</v>
      </c>
      <c r="G563">
        <v>1</v>
      </c>
      <c r="H563" t="s">
        <v>1618</v>
      </c>
      <c r="I563" t="s">
        <v>65</v>
      </c>
      <c r="J563" t="s">
        <v>1619</v>
      </c>
      <c r="K563" t="s">
        <v>20</v>
      </c>
      <c r="L563" t="s">
        <v>1620</v>
      </c>
      <c r="M563" s="3" t="str">
        <f>HYPERLINK("..\..\Imagery\ScannedPhotos\1987\CG87-422.jpg")</f>
        <v>..\..\Imagery\ScannedPhotos\1987\CG87-422.jpg</v>
      </c>
    </row>
    <row r="564" spans="1:13" x14ac:dyDescent="0.25">
      <c r="A564" t="s">
        <v>1621</v>
      </c>
      <c r="B564">
        <v>378032</v>
      </c>
      <c r="C564">
        <v>6090249</v>
      </c>
      <c r="D564">
        <v>21</v>
      </c>
      <c r="E564" t="s">
        <v>15</v>
      </c>
      <c r="F564" t="s">
        <v>1622</v>
      </c>
      <c r="G564">
        <v>2</v>
      </c>
      <c r="H564" t="s">
        <v>1623</v>
      </c>
      <c r="I564" t="s">
        <v>386</v>
      </c>
      <c r="J564" t="s">
        <v>1624</v>
      </c>
      <c r="K564" t="s">
        <v>56</v>
      </c>
      <c r="L564" t="s">
        <v>1625</v>
      </c>
      <c r="M564" s="3" t="str">
        <f>HYPERLINK("..\..\Imagery\ScannedPhotos\1978\AL78-032.1.jpg")</f>
        <v>..\..\Imagery\ScannedPhotos\1978\AL78-032.1.jpg</v>
      </c>
    </row>
    <row r="565" spans="1:13" x14ac:dyDescent="0.25">
      <c r="A565" t="s">
        <v>1621</v>
      </c>
      <c r="B565">
        <v>378032</v>
      </c>
      <c r="C565">
        <v>6090249</v>
      </c>
      <c r="D565">
        <v>21</v>
      </c>
      <c r="E565" t="s">
        <v>15</v>
      </c>
      <c r="F565" t="s">
        <v>1626</v>
      </c>
      <c r="G565">
        <v>2</v>
      </c>
      <c r="H565" t="s">
        <v>1623</v>
      </c>
      <c r="I565" t="s">
        <v>217</v>
      </c>
      <c r="J565" t="s">
        <v>1624</v>
      </c>
      <c r="K565" t="s">
        <v>20</v>
      </c>
      <c r="L565" t="s">
        <v>1627</v>
      </c>
      <c r="M565" s="3" t="str">
        <f>HYPERLINK("..\..\Imagery\ScannedPhotos\1978\AL78-032.2.jpg")</f>
        <v>..\..\Imagery\ScannedPhotos\1978\AL78-032.2.jpg</v>
      </c>
    </row>
    <row r="566" spans="1:13" x14ac:dyDescent="0.25">
      <c r="A566" t="s">
        <v>1628</v>
      </c>
      <c r="B566">
        <v>378094</v>
      </c>
      <c r="C566">
        <v>6089484</v>
      </c>
      <c r="D566">
        <v>21</v>
      </c>
      <c r="E566" t="s">
        <v>15</v>
      </c>
      <c r="F566" t="s">
        <v>1629</v>
      </c>
      <c r="G566">
        <v>1</v>
      </c>
      <c r="H566" t="s">
        <v>1623</v>
      </c>
      <c r="I566" t="s">
        <v>214</v>
      </c>
      <c r="J566" t="s">
        <v>1624</v>
      </c>
      <c r="K566" t="s">
        <v>20</v>
      </c>
      <c r="L566" t="s">
        <v>1630</v>
      </c>
      <c r="M566" s="3" t="str">
        <f>HYPERLINK("..\..\Imagery\ScannedPhotos\1978\AL78-033.jpg")</f>
        <v>..\..\Imagery\ScannedPhotos\1978\AL78-033.jpg</v>
      </c>
    </row>
    <row r="567" spans="1:13" x14ac:dyDescent="0.25">
      <c r="A567" t="s">
        <v>1631</v>
      </c>
      <c r="B567">
        <v>412279</v>
      </c>
      <c r="C567">
        <v>5941543</v>
      </c>
      <c r="D567">
        <v>21</v>
      </c>
      <c r="E567" t="s">
        <v>15</v>
      </c>
      <c r="F567" t="s">
        <v>1632</v>
      </c>
      <c r="G567">
        <v>1</v>
      </c>
      <c r="H567" t="s">
        <v>845</v>
      </c>
      <c r="I567" t="s">
        <v>195</v>
      </c>
      <c r="J567" t="s">
        <v>48</v>
      </c>
      <c r="K567" t="s">
        <v>20</v>
      </c>
      <c r="L567" t="s">
        <v>1633</v>
      </c>
      <c r="M567" s="3" t="str">
        <f>HYPERLINK("..\..\Imagery\ScannedPhotos\1981\CG81-611.jpg")</f>
        <v>..\..\Imagery\ScannedPhotos\1981\CG81-611.jpg</v>
      </c>
    </row>
    <row r="568" spans="1:13" x14ac:dyDescent="0.25">
      <c r="A568" t="s">
        <v>1634</v>
      </c>
      <c r="B568">
        <v>464442</v>
      </c>
      <c r="C568">
        <v>6004449</v>
      </c>
      <c r="D568">
        <v>21</v>
      </c>
      <c r="E568" t="s">
        <v>15</v>
      </c>
      <c r="F568" t="s">
        <v>1635</v>
      </c>
      <c r="G568">
        <v>2</v>
      </c>
      <c r="H568" t="s">
        <v>1636</v>
      </c>
      <c r="I568" t="s">
        <v>418</v>
      </c>
      <c r="J568" t="s">
        <v>652</v>
      </c>
      <c r="K568" t="s">
        <v>935</v>
      </c>
      <c r="L568" t="s">
        <v>1637</v>
      </c>
      <c r="M568" s="3" t="str">
        <f>HYPERLINK("..\..\Imagery\ScannedPhotos\1980\CG80-317.1.jpg")</f>
        <v>..\..\Imagery\ScannedPhotos\1980\CG80-317.1.jpg</v>
      </c>
    </row>
    <row r="569" spans="1:13" x14ac:dyDescent="0.25">
      <c r="A569" t="s">
        <v>1634</v>
      </c>
      <c r="B569">
        <v>464442</v>
      </c>
      <c r="C569">
        <v>6004449</v>
      </c>
      <c r="D569">
        <v>21</v>
      </c>
      <c r="E569" t="s">
        <v>15</v>
      </c>
      <c r="F569" t="s">
        <v>1638</v>
      </c>
      <c r="G569">
        <v>2</v>
      </c>
      <c r="H569" t="s">
        <v>1636</v>
      </c>
      <c r="I569" t="s">
        <v>25</v>
      </c>
      <c r="J569" t="s">
        <v>652</v>
      </c>
      <c r="K569" t="s">
        <v>20</v>
      </c>
      <c r="L569" t="s">
        <v>1639</v>
      </c>
      <c r="M569" s="3" t="str">
        <f>HYPERLINK("..\..\Imagery\ScannedPhotos\1980\CG80-317.2.jpg")</f>
        <v>..\..\Imagery\ScannedPhotos\1980\CG80-317.2.jpg</v>
      </c>
    </row>
    <row r="570" spans="1:13" x14ac:dyDescent="0.25">
      <c r="A570" t="s">
        <v>1640</v>
      </c>
      <c r="B570">
        <v>466355</v>
      </c>
      <c r="C570">
        <v>6004957</v>
      </c>
      <c r="D570">
        <v>21</v>
      </c>
      <c r="E570" t="s">
        <v>15</v>
      </c>
      <c r="F570" t="s">
        <v>1641</v>
      </c>
      <c r="G570">
        <v>1</v>
      </c>
      <c r="H570" t="s">
        <v>1636</v>
      </c>
      <c r="I570" t="s">
        <v>360</v>
      </c>
      <c r="J570" t="s">
        <v>652</v>
      </c>
      <c r="K570" t="s">
        <v>20</v>
      </c>
      <c r="L570" t="s">
        <v>1642</v>
      </c>
      <c r="M570" s="3" t="str">
        <f>HYPERLINK("..\..\Imagery\ScannedPhotos\1980\CG80-319.jpg")</f>
        <v>..\..\Imagery\ScannedPhotos\1980\CG80-319.jpg</v>
      </c>
    </row>
    <row r="571" spans="1:13" x14ac:dyDescent="0.25">
      <c r="A571" t="s">
        <v>1643</v>
      </c>
      <c r="B571">
        <v>467438</v>
      </c>
      <c r="C571">
        <v>6005579</v>
      </c>
      <c r="D571">
        <v>21</v>
      </c>
      <c r="E571" t="s">
        <v>15</v>
      </c>
      <c r="F571" t="s">
        <v>1644</v>
      </c>
      <c r="G571">
        <v>5</v>
      </c>
      <c r="H571" t="s">
        <v>1636</v>
      </c>
      <c r="I571" t="s">
        <v>114</v>
      </c>
      <c r="J571" t="s">
        <v>652</v>
      </c>
      <c r="K571" t="s">
        <v>20</v>
      </c>
      <c r="L571" t="s">
        <v>1645</v>
      </c>
      <c r="M571" s="3" t="str">
        <f>HYPERLINK("..\..\Imagery\ScannedPhotos\1980\CG80-321.3.jpg")</f>
        <v>..\..\Imagery\ScannedPhotos\1980\CG80-321.3.jpg</v>
      </c>
    </row>
    <row r="572" spans="1:13" x14ac:dyDescent="0.25">
      <c r="A572" t="s">
        <v>1643</v>
      </c>
      <c r="B572">
        <v>467438</v>
      </c>
      <c r="C572">
        <v>6005579</v>
      </c>
      <c r="D572">
        <v>21</v>
      </c>
      <c r="E572" t="s">
        <v>15</v>
      </c>
      <c r="F572" t="s">
        <v>1646</v>
      </c>
      <c r="G572">
        <v>5</v>
      </c>
      <c r="H572" t="s">
        <v>1636</v>
      </c>
      <c r="I572" t="s">
        <v>122</v>
      </c>
      <c r="J572" t="s">
        <v>652</v>
      </c>
      <c r="K572" t="s">
        <v>20</v>
      </c>
      <c r="L572" t="s">
        <v>1645</v>
      </c>
      <c r="M572" s="3" t="str">
        <f>HYPERLINK("..\..\Imagery\ScannedPhotos\1980\CG80-321.5.jpg")</f>
        <v>..\..\Imagery\ScannedPhotos\1980\CG80-321.5.jpg</v>
      </c>
    </row>
    <row r="573" spans="1:13" x14ac:dyDescent="0.25">
      <c r="A573" t="s">
        <v>1643</v>
      </c>
      <c r="B573">
        <v>467438</v>
      </c>
      <c r="C573">
        <v>6005579</v>
      </c>
      <c r="D573">
        <v>21</v>
      </c>
      <c r="E573" t="s">
        <v>15</v>
      </c>
      <c r="F573" t="s">
        <v>1647</v>
      </c>
      <c r="G573">
        <v>5</v>
      </c>
      <c r="H573" t="s">
        <v>1636</v>
      </c>
      <c r="I573" t="s">
        <v>119</v>
      </c>
      <c r="J573" t="s">
        <v>652</v>
      </c>
      <c r="K573" t="s">
        <v>20</v>
      </c>
      <c r="L573" t="s">
        <v>1645</v>
      </c>
      <c r="M573" s="3" t="str">
        <f>HYPERLINK("..\..\Imagery\ScannedPhotos\1980\CG80-321.4.jpg")</f>
        <v>..\..\Imagery\ScannedPhotos\1980\CG80-321.4.jpg</v>
      </c>
    </row>
    <row r="574" spans="1:13" x14ac:dyDescent="0.25">
      <c r="A574" t="s">
        <v>1648</v>
      </c>
      <c r="B574">
        <v>590502</v>
      </c>
      <c r="C574">
        <v>5779799</v>
      </c>
      <c r="D574">
        <v>21</v>
      </c>
      <c r="E574" t="s">
        <v>15</v>
      </c>
      <c r="F574" t="s">
        <v>1649</v>
      </c>
      <c r="G574">
        <v>4</v>
      </c>
      <c r="H574" t="s">
        <v>1650</v>
      </c>
      <c r="I574" t="s">
        <v>147</v>
      </c>
      <c r="J574" t="s">
        <v>1651</v>
      </c>
      <c r="K574" t="s">
        <v>56</v>
      </c>
      <c r="L574" t="s">
        <v>1652</v>
      </c>
      <c r="M574" s="3" t="str">
        <f>HYPERLINK("..\..\Imagery\ScannedPhotos\1987\CG87-568.2.jpg")</f>
        <v>..\..\Imagery\ScannedPhotos\1987\CG87-568.2.jpg</v>
      </c>
    </row>
    <row r="575" spans="1:13" x14ac:dyDescent="0.25">
      <c r="A575" t="s">
        <v>1648</v>
      </c>
      <c r="B575">
        <v>590502</v>
      </c>
      <c r="C575">
        <v>5779799</v>
      </c>
      <c r="D575">
        <v>21</v>
      </c>
      <c r="E575" t="s">
        <v>15</v>
      </c>
      <c r="F575" t="s">
        <v>1653</v>
      </c>
      <c r="G575">
        <v>4</v>
      </c>
      <c r="H575" t="s">
        <v>1650</v>
      </c>
      <c r="I575" t="s">
        <v>47</v>
      </c>
      <c r="J575" t="s">
        <v>1651</v>
      </c>
      <c r="K575" t="s">
        <v>56</v>
      </c>
      <c r="L575" t="s">
        <v>1652</v>
      </c>
      <c r="M575" s="3" t="str">
        <f>HYPERLINK("..\..\Imagery\ScannedPhotos\1987\CG87-568.3.jpg")</f>
        <v>..\..\Imagery\ScannedPhotos\1987\CG87-568.3.jpg</v>
      </c>
    </row>
    <row r="576" spans="1:13" x14ac:dyDescent="0.25">
      <c r="A576" t="s">
        <v>1648</v>
      </c>
      <c r="B576">
        <v>590502</v>
      </c>
      <c r="C576">
        <v>5779799</v>
      </c>
      <c r="D576">
        <v>21</v>
      </c>
      <c r="E576" t="s">
        <v>15</v>
      </c>
      <c r="F576" t="s">
        <v>1654</v>
      </c>
      <c r="G576">
        <v>4</v>
      </c>
      <c r="H576" t="s">
        <v>1650</v>
      </c>
      <c r="I576" t="s">
        <v>143</v>
      </c>
      <c r="J576" t="s">
        <v>1651</v>
      </c>
      <c r="K576" t="s">
        <v>56</v>
      </c>
      <c r="L576" t="s">
        <v>1652</v>
      </c>
      <c r="M576" s="3" t="str">
        <f>HYPERLINK("..\..\Imagery\ScannedPhotos\1987\CG87-568.1.jpg")</f>
        <v>..\..\Imagery\ScannedPhotos\1987\CG87-568.1.jpg</v>
      </c>
    </row>
    <row r="577" spans="1:13" x14ac:dyDescent="0.25">
      <c r="A577" t="s">
        <v>1655</v>
      </c>
      <c r="B577">
        <v>590440</v>
      </c>
      <c r="C577">
        <v>5779409</v>
      </c>
      <c r="D577">
        <v>21</v>
      </c>
      <c r="E577" t="s">
        <v>15</v>
      </c>
      <c r="F577" t="s">
        <v>1656</v>
      </c>
      <c r="G577">
        <v>1</v>
      </c>
      <c r="H577" t="s">
        <v>1650</v>
      </c>
      <c r="I577" t="s">
        <v>65</v>
      </c>
      <c r="J577" t="s">
        <v>1651</v>
      </c>
      <c r="K577" t="s">
        <v>20</v>
      </c>
      <c r="L577" t="s">
        <v>1358</v>
      </c>
      <c r="M577" s="3" t="str">
        <f>HYPERLINK("..\..\Imagery\ScannedPhotos\1987\CG87-569.jpg")</f>
        <v>..\..\Imagery\ScannedPhotos\1987\CG87-569.jpg</v>
      </c>
    </row>
    <row r="578" spans="1:13" x14ac:dyDescent="0.25">
      <c r="A578" t="s">
        <v>1657</v>
      </c>
      <c r="B578">
        <v>550532</v>
      </c>
      <c r="C578">
        <v>5932013</v>
      </c>
      <c r="D578">
        <v>21</v>
      </c>
      <c r="E578" t="s">
        <v>15</v>
      </c>
      <c r="F578" t="s">
        <v>1658</v>
      </c>
      <c r="G578">
        <v>2</v>
      </c>
      <c r="H578" t="s">
        <v>1659</v>
      </c>
      <c r="I578" t="s">
        <v>132</v>
      </c>
      <c r="J578" t="s">
        <v>48</v>
      </c>
      <c r="K578" t="s">
        <v>20</v>
      </c>
      <c r="L578" t="s">
        <v>1660</v>
      </c>
      <c r="M578" s="3" t="str">
        <f>HYPERLINK("..\..\Imagery\ScannedPhotos\1981\GF81-340.1.jpg")</f>
        <v>..\..\Imagery\ScannedPhotos\1981\GF81-340.1.jpg</v>
      </c>
    </row>
    <row r="579" spans="1:13" x14ac:dyDescent="0.25">
      <c r="A579" t="s">
        <v>1657</v>
      </c>
      <c r="B579">
        <v>550532</v>
      </c>
      <c r="C579">
        <v>5932013</v>
      </c>
      <c r="D579">
        <v>21</v>
      </c>
      <c r="E579" t="s">
        <v>15</v>
      </c>
      <c r="F579" t="s">
        <v>1661</v>
      </c>
      <c r="G579">
        <v>2</v>
      </c>
      <c r="H579" t="s">
        <v>1659</v>
      </c>
      <c r="I579" t="s">
        <v>129</v>
      </c>
      <c r="J579" t="s">
        <v>48</v>
      </c>
      <c r="K579" t="s">
        <v>20</v>
      </c>
      <c r="L579" t="s">
        <v>1662</v>
      </c>
      <c r="M579" s="3" t="str">
        <f>HYPERLINK("..\..\Imagery\ScannedPhotos\1981\GF81-340.2.jpg")</f>
        <v>..\..\Imagery\ScannedPhotos\1981\GF81-340.2.jpg</v>
      </c>
    </row>
    <row r="580" spans="1:13" x14ac:dyDescent="0.25">
      <c r="A580" t="s">
        <v>1663</v>
      </c>
      <c r="B580">
        <v>559808</v>
      </c>
      <c r="C580">
        <v>5931820</v>
      </c>
      <c r="D580">
        <v>21</v>
      </c>
      <c r="E580" t="s">
        <v>15</v>
      </c>
      <c r="F580" t="s">
        <v>1664</v>
      </c>
      <c r="G580">
        <v>1</v>
      </c>
      <c r="H580" t="s">
        <v>1659</v>
      </c>
      <c r="I580" t="s">
        <v>41</v>
      </c>
      <c r="J580" t="s">
        <v>48</v>
      </c>
      <c r="K580" t="s">
        <v>20</v>
      </c>
      <c r="L580" t="s">
        <v>1665</v>
      </c>
      <c r="M580" s="3" t="str">
        <f>HYPERLINK("..\..\Imagery\ScannedPhotos\1981\GF81-367.jpg")</f>
        <v>..\..\Imagery\ScannedPhotos\1981\GF81-367.jpg</v>
      </c>
    </row>
    <row r="581" spans="1:13" x14ac:dyDescent="0.25">
      <c r="A581" t="s">
        <v>1666</v>
      </c>
      <c r="B581">
        <v>533810</v>
      </c>
      <c r="C581">
        <v>5725040</v>
      </c>
      <c r="D581">
        <v>21</v>
      </c>
      <c r="E581" t="s">
        <v>15</v>
      </c>
      <c r="F581" t="s">
        <v>1667</v>
      </c>
      <c r="G581">
        <v>2</v>
      </c>
      <c r="H581" t="s">
        <v>885</v>
      </c>
      <c r="I581" t="s">
        <v>126</v>
      </c>
      <c r="J581" t="s">
        <v>886</v>
      </c>
      <c r="K581" t="s">
        <v>56</v>
      </c>
      <c r="L581" t="s">
        <v>1668</v>
      </c>
      <c r="M581" s="3" t="str">
        <f>HYPERLINK("..\..\Imagery\ScannedPhotos\1993\CG93-126.1.jpg")</f>
        <v>..\..\Imagery\ScannedPhotos\1993\CG93-126.1.jpg</v>
      </c>
    </row>
    <row r="582" spans="1:13" x14ac:dyDescent="0.25">
      <c r="A582" t="s">
        <v>1666</v>
      </c>
      <c r="B582">
        <v>533810</v>
      </c>
      <c r="C582">
        <v>5725040</v>
      </c>
      <c r="D582">
        <v>21</v>
      </c>
      <c r="E582" t="s">
        <v>15</v>
      </c>
      <c r="F582" t="s">
        <v>1669</v>
      </c>
      <c r="G582">
        <v>2</v>
      </c>
      <c r="H582" t="s">
        <v>885</v>
      </c>
      <c r="I582" t="s">
        <v>108</v>
      </c>
      <c r="J582" t="s">
        <v>886</v>
      </c>
      <c r="K582" t="s">
        <v>20</v>
      </c>
      <c r="L582" t="s">
        <v>1670</v>
      </c>
      <c r="M582" s="3" t="str">
        <f>HYPERLINK("..\..\Imagery\ScannedPhotos\1993\CG93-126.2.jpg")</f>
        <v>..\..\Imagery\ScannedPhotos\1993\CG93-126.2.jpg</v>
      </c>
    </row>
    <row r="583" spans="1:13" x14ac:dyDescent="0.25">
      <c r="A583" t="s">
        <v>1671</v>
      </c>
      <c r="B583">
        <v>533348</v>
      </c>
      <c r="C583">
        <v>5724567</v>
      </c>
      <c r="D583">
        <v>21</v>
      </c>
      <c r="E583" t="s">
        <v>15</v>
      </c>
      <c r="F583" t="s">
        <v>1672</v>
      </c>
      <c r="G583">
        <v>1</v>
      </c>
      <c r="H583" t="s">
        <v>885</v>
      </c>
      <c r="I583" t="s">
        <v>132</v>
      </c>
      <c r="J583" t="s">
        <v>886</v>
      </c>
      <c r="K583" t="s">
        <v>20</v>
      </c>
      <c r="L583" t="s">
        <v>1673</v>
      </c>
      <c r="M583" s="3" t="str">
        <f>HYPERLINK("..\..\Imagery\ScannedPhotos\1993\CG93-127.jpg")</f>
        <v>..\..\Imagery\ScannedPhotos\1993\CG93-127.jpg</v>
      </c>
    </row>
    <row r="584" spans="1:13" x14ac:dyDescent="0.25">
      <c r="A584" t="s">
        <v>1674</v>
      </c>
      <c r="B584">
        <v>531447</v>
      </c>
      <c r="C584">
        <v>5725391</v>
      </c>
      <c r="D584">
        <v>21</v>
      </c>
      <c r="E584" t="s">
        <v>15</v>
      </c>
      <c r="F584" t="s">
        <v>1675</v>
      </c>
      <c r="G584">
        <v>1</v>
      </c>
      <c r="H584" t="s">
        <v>885</v>
      </c>
      <c r="I584" t="s">
        <v>143</v>
      </c>
      <c r="J584" t="s">
        <v>886</v>
      </c>
      <c r="K584" t="s">
        <v>20</v>
      </c>
      <c r="L584" t="s">
        <v>1676</v>
      </c>
      <c r="M584" s="3" t="str">
        <f>HYPERLINK("..\..\Imagery\ScannedPhotos\1993\CG93-132.jpg")</f>
        <v>..\..\Imagery\ScannedPhotos\1993\CG93-132.jpg</v>
      </c>
    </row>
    <row r="585" spans="1:13" x14ac:dyDescent="0.25">
      <c r="A585" t="s">
        <v>1677</v>
      </c>
      <c r="B585">
        <v>531944</v>
      </c>
      <c r="C585">
        <v>5724574</v>
      </c>
      <c r="D585">
        <v>21</v>
      </c>
      <c r="E585" t="s">
        <v>15</v>
      </c>
      <c r="F585" t="s">
        <v>1678</v>
      </c>
      <c r="G585">
        <v>1</v>
      </c>
      <c r="H585" t="s">
        <v>885</v>
      </c>
      <c r="I585" t="s">
        <v>47</v>
      </c>
      <c r="J585" t="s">
        <v>886</v>
      </c>
      <c r="K585" t="s">
        <v>20</v>
      </c>
      <c r="L585" t="s">
        <v>1679</v>
      </c>
      <c r="M585" s="3" t="str">
        <f>HYPERLINK("..\..\Imagery\ScannedPhotos\1993\CG93-166.jpg")</f>
        <v>..\..\Imagery\ScannedPhotos\1993\CG93-166.jpg</v>
      </c>
    </row>
    <row r="586" spans="1:13" x14ac:dyDescent="0.25">
      <c r="A586" t="s">
        <v>1680</v>
      </c>
      <c r="B586">
        <v>416650</v>
      </c>
      <c r="C586">
        <v>5875024</v>
      </c>
      <c r="D586">
        <v>21</v>
      </c>
      <c r="E586" t="s">
        <v>15</v>
      </c>
      <c r="F586" t="s">
        <v>1681</v>
      </c>
      <c r="G586">
        <v>10</v>
      </c>
      <c r="H586" t="s">
        <v>556</v>
      </c>
      <c r="I586" t="s">
        <v>74</v>
      </c>
      <c r="J586" t="s">
        <v>557</v>
      </c>
      <c r="K586" t="s">
        <v>20</v>
      </c>
      <c r="L586" t="s">
        <v>1682</v>
      </c>
      <c r="M586" s="3" t="str">
        <f>HYPERLINK("..\..\Imagery\ScannedPhotos\1995\CG95-341.7.jpg")</f>
        <v>..\..\Imagery\ScannedPhotos\1995\CG95-341.7.jpg</v>
      </c>
    </row>
    <row r="587" spans="1:13" x14ac:dyDescent="0.25">
      <c r="A587" t="s">
        <v>1680</v>
      </c>
      <c r="B587">
        <v>416650</v>
      </c>
      <c r="C587">
        <v>5875024</v>
      </c>
      <c r="D587">
        <v>21</v>
      </c>
      <c r="E587" t="s">
        <v>15</v>
      </c>
      <c r="F587" t="s">
        <v>1683</v>
      </c>
      <c r="G587">
        <v>10</v>
      </c>
      <c r="H587" t="s">
        <v>556</v>
      </c>
      <c r="I587" t="s">
        <v>35</v>
      </c>
      <c r="J587" t="s">
        <v>557</v>
      </c>
      <c r="K587" t="s">
        <v>20</v>
      </c>
      <c r="L587" t="s">
        <v>1682</v>
      </c>
      <c r="M587" s="3" t="str">
        <f>HYPERLINK("..\..\Imagery\ScannedPhotos\1995\CG95-341.6.jpg")</f>
        <v>..\..\Imagery\ScannedPhotos\1995\CG95-341.6.jpg</v>
      </c>
    </row>
    <row r="588" spans="1:13" x14ac:dyDescent="0.25">
      <c r="A588" t="s">
        <v>1680</v>
      </c>
      <c r="B588">
        <v>416650</v>
      </c>
      <c r="C588">
        <v>5875024</v>
      </c>
      <c r="D588">
        <v>21</v>
      </c>
      <c r="E588" t="s">
        <v>15</v>
      </c>
      <c r="F588" t="s">
        <v>1684</v>
      </c>
      <c r="G588">
        <v>10</v>
      </c>
      <c r="H588" t="s">
        <v>556</v>
      </c>
      <c r="I588" t="s">
        <v>375</v>
      </c>
      <c r="J588" t="s">
        <v>557</v>
      </c>
      <c r="K588" t="s">
        <v>20</v>
      </c>
      <c r="L588" t="s">
        <v>1685</v>
      </c>
      <c r="M588" s="3" t="str">
        <f>HYPERLINK("..\..\Imagery\ScannedPhotos\1995\CG95-341.10.jpg")</f>
        <v>..\..\Imagery\ScannedPhotos\1995\CG95-341.10.jpg</v>
      </c>
    </row>
    <row r="589" spans="1:13" x14ac:dyDescent="0.25">
      <c r="A589" t="s">
        <v>1686</v>
      </c>
      <c r="B589">
        <v>586046</v>
      </c>
      <c r="C589">
        <v>5782004</v>
      </c>
      <c r="D589">
        <v>21</v>
      </c>
      <c r="E589" t="s">
        <v>15</v>
      </c>
      <c r="F589" t="s">
        <v>1687</v>
      </c>
      <c r="G589">
        <v>3</v>
      </c>
      <c r="H589" t="s">
        <v>1688</v>
      </c>
      <c r="I589" t="s">
        <v>129</v>
      </c>
      <c r="J589" t="s">
        <v>1052</v>
      </c>
      <c r="K589" t="s">
        <v>56</v>
      </c>
      <c r="L589" t="s">
        <v>1689</v>
      </c>
      <c r="M589" s="3" t="str">
        <f>HYPERLINK("..\..\Imagery\ScannedPhotos\1987\VN87-407.2.jpg")</f>
        <v>..\..\Imagery\ScannedPhotos\1987\VN87-407.2.jpg</v>
      </c>
    </row>
    <row r="590" spans="1:13" x14ac:dyDescent="0.25">
      <c r="A590" t="s">
        <v>1690</v>
      </c>
      <c r="B590">
        <v>538435</v>
      </c>
      <c r="C590">
        <v>5951729</v>
      </c>
      <c r="D590">
        <v>21</v>
      </c>
      <c r="E590" t="s">
        <v>15</v>
      </c>
      <c r="F590" t="s">
        <v>1691</v>
      </c>
      <c r="G590">
        <v>2</v>
      </c>
      <c r="H590" t="s">
        <v>1405</v>
      </c>
      <c r="I590" t="s">
        <v>74</v>
      </c>
      <c r="J590" t="s">
        <v>48</v>
      </c>
      <c r="K590" t="s">
        <v>20</v>
      </c>
      <c r="L590" t="s">
        <v>1692</v>
      </c>
      <c r="M590" s="3" t="str">
        <f>HYPERLINK("..\..\Imagery\ScannedPhotos\1981\CG81-353.1.jpg")</f>
        <v>..\..\Imagery\ScannedPhotos\1981\CG81-353.1.jpg</v>
      </c>
    </row>
    <row r="591" spans="1:13" x14ac:dyDescent="0.25">
      <c r="A591" t="s">
        <v>1690</v>
      </c>
      <c r="B591">
        <v>538435</v>
      </c>
      <c r="C591">
        <v>5951729</v>
      </c>
      <c r="D591">
        <v>21</v>
      </c>
      <c r="E591" t="s">
        <v>15</v>
      </c>
      <c r="F591" t="s">
        <v>1693</v>
      </c>
      <c r="G591">
        <v>2</v>
      </c>
      <c r="H591" t="s">
        <v>221</v>
      </c>
      <c r="I591" t="s">
        <v>195</v>
      </c>
      <c r="J591" t="s">
        <v>48</v>
      </c>
      <c r="K591" t="s">
        <v>20</v>
      </c>
      <c r="L591" t="s">
        <v>1692</v>
      </c>
      <c r="M591" s="3" t="str">
        <f>HYPERLINK("..\..\Imagery\ScannedPhotos\1981\CG81-353.2.jpg")</f>
        <v>..\..\Imagery\ScannedPhotos\1981\CG81-353.2.jpg</v>
      </c>
    </row>
    <row r="592" spans="1:13" x14ac:dyDescent="0.25">
      <c r="A592" t="s">
        <v>1694</v>
      </c>
      <c r="B592">
        <v>536659</v>
      </c>
      <c r="C592">
        <v>5952188</v>
      </c>
      <c r="D592">
        <v>21</v>
      </c>
      <c r="E592" t="s">
        <v>15</v>
      </c>
      <c r="F592" t="s">
        <v>1695</v>
      </c>
      <c r="G592">
        <v>1</v>
      </c>
      <c r="H592" t="s">
        <v>221</v>
      </c>
      <c r="I592" t="s">
        <v>25</v>
      </c>
      <c r="J592" t="s">
        <v>48</v>
      </c>
      <c r="K592" t="s">
        <v>20</v>
      </c>
      <c r="L592" t="s">
        <v>1696</v>
      </c>
      <c r="M592" s="3" t="str">
        <f>HYPERLINK("..\..\Imagery\ScannedPhotos\1981\CG81-356.jpg")</f>
        <v>..\..\Imagery\ScannedPhotos\1981\CG81-356.jpg</v>
      </c>
    </row>
    <row r="593" spans="1:13" x14ac:dyDescent="0.25">
      <c r="A593" t="s">
        <v>1697</v>
      </c>
      <c r="B593">
        <v>411720</v>
      </c>
      <c r="C593">
        <v>5997299</v>
      </c>
      <c r="D593">
        <v>21</v>
      </c>
      <c r="E593" t="s">
        <v>15</v>
      </c>
      <c r="F593" t="s">
        <v>1698</v>
      </c>
      <c r="G593">
        <v>3</v>
      </c>
      <c r="H593" t="s">
        <v>758</v>
      </c>
      <c r="I593" t="s">
        <v>304</v>
      </c>
      <c r="J593" t="s">
        <v>759</v>
      </c>
      <c r="K593" t="s">
        <v>20</v>
      </c>
      <c r="L593" t="s">
        <v>1699</v>
      </c>
      <c r="M593" s="3" t="str">
        <f>HYPERLINK("..\..\Imagery\ScannedPhotos\1980\RG80-062.1.jpg")</f>
        <v>..\..\Imagery\ScannedPhotos\1980\RG80-062.1.jpg</v>
      </c>
    </row>
    <row r="594" spans="1:13" x14ac:dyDescent="0.25">
      <c r="A594" t="s">
        <v>1700</v>
      </c>
      <c r="B594">
        <v>413078</v>
      </c>
      <c r="C594">
        <v>5995108</v>
      </c>
      <c r="D594">
        <v>21</v>
      </c>
      <c r="E594" t="s">
        <v>15</v>
      </c>
      <c r="F594" t="s">
        <v>1701</v>
      </c>
      <c r="G594">
        <v>1</v>
      </c>
      <c r="H594" t="s">
        <v>758</v>
      </c>
      <c r="I594" t="s">
        <v>360</v>
      </c>
      <c r="J594" t="s">
        <v>759</v>
      </c>
      <c r="K594" t="s">
        <v>20</v>
      </c>
      <c r="L594" t="s">
        <v>116</v>
      </c>
      <c r="M594" s="3" t="str">
        <f>HYPERLINK("..\..\Imagery\ScannedPhotos\1980\RG80-064.jpg")</f>
        <v>..\..\Imagery\ScannedPhotos\1980\RG80-064.jpg</v>
      </c>
    </row>
    <row r="595" spans="1:13" x14ac:dyDescent="0.25">
      <c r="A595" t="s">
        <v>1702</v>
      </c>
      <c r="B595">
        <v>412968</v>
      </c>
      <c r="C595">
        <v>5994972</v>
      </c>
      <c r="D595">
        <v>21</v>
      </c>
      <c r="E595" t="s">
        <v>15</v>
      </c>
      <c r="F595" t="s">
        <v>1703</v>
      </c>
      <c r="G595">
        <v>4</v>
      </c>
      <c r="H595" t="s">
        <v>758</v>
      </c>
      <c r="I595" t="s">
        <v>119</v>
      </c>
      <c r="J595" t="s">
        <v>759</v>
      </c>
      <c r="K595" t="s">
        <v>20</v>
      </c>
      <c r="L595" t="s">
        <v>1704</v>
      </c>
      <c r="M595" s="3" t="str">
        <f>HYPERLINK("..\..\Imagery\ScannedPhotos\1980\RG80-065.4.jpg")</f>
        <v>..\..\Imagery\ScannedPhotos\1980\RG80-065.4.jpg</v>
      </c>
    </row>
    <row r="596" spans="1:13" x14ac:dyDescent="0.25">
      <c r="A596" t="s">
        <v>1705</v>
      </c>
      <c r="B596">
        <v>596769</v>
      </c>
      <c r="C596">
        <v>5792417</v>
      </c>
      <c r="D596">
        <v>21</v>
      </c>
      <c r="E596" t="s">
        <v>15</v>
      </c>
      <c r="F596" t="s">
        <v>1706</v>
      </c>
      <c r="G596">
        <v>4</v>
      </c>
      <c r="K596" t="s">
        <v>56</v>
      </c>
      <c r="L596" t="s">
        <v>1707</v>
      </c>
      <c r="M596" s="3" t="str">
        <f>HYPERLINK("..\..\Imagery\ScannedPhotos\2007\CG07-176.3.jpg")</f>
        <v>..\..\Imagery\ScannedPhotos\2007\CG07-176.3.jpg</v>
      </c>
    </row>
    <row r="597" spans="1:13" x14ac:dyDescent="0.25">
      <c r="A597" t="s">
        <v>1705</v>
      </c>
      <c r="B597">
        <v>596769</v>
      </c>
      <c r="C597">
        <v>5792417</v>
      </c>
      <c r="D597">
        <v>21</v>
      </c>
      <c r="E597" t="s">
        <v>15</v>
      </c>
      <c r="F597" t="s">
        <v>1708</v>
      </c>
      <c r="G597">
        <v>4</v>
      </c>
      <c r="K597" t="s">
        <v>20</v>
      </c>
      <c r="L597" t="s">
        <v>1709</v>
      </c>
      <c r="M597" s="3" t="str">
        <f>HYPERLINK("..\..\Imagery\ScannedPhotos\2007\CG07-176.4.jpg")</f>
        <v>..\..\Imagery\ScannedPhotos\2007\CG07-176.4.jpg</v>
      </c>
    </row>
    <row r="598" spans="1:13" x14ac:dyDescent="0.25">
      <c r="A598" t="s">
        <v>1710</v>
      </c>
      <c r="B598">
        <v>498550</v>
      </c>
      <c r="C598">
        <v>5830525</v>
      </c>
      <c r="D598">
        <v>21</v>
      </c>
      <c r="E598" t="s">
        <v>15</v>
      </c>
      <c r="F598" t="s">
        <v>1711</v>
      </c>
      <c r="G598">
        <v>2</v>
      </c>
      <c r="H598" t="s">
        <v>1712</v>
      </c>
      <c r="I598" t="s">
        <v>126</v>
      </c>
      <c r="J598" t="s">
        <v>1713</v>
      </c>
      <c r="K598" t="s">
        <v>20</v>
      </c>
      <c r="L598" t="s">
        <v>642</v>
      </c>
      <c r="M598" s="3" t="str">
        <f>HYPERLINK("..\..\Imagery\ScannedPhotos\1991\DE91-116.1.jpg")</f>
        <v>..\..\Imagery\ScannedPhotos\1991\DE91-116.1.jpg</v>
      </c>
    </row>
    <row r="599" spans="1:13" x14ac:dyDescent="0.25">
      <c r="A599" t="s">
        <v>1710</v>
      </c>
      <c r="B599">
        <v>498550</v>
      </c>
      <c r="C599">
        <v>5830525</v>
      </c>
      <c r="D599">
        <v>21</v>
      </c>
      <c r="E599" t="s">
        <v>15</v>
      </c>
      <c r="F599" t="s">
        <v>1714</v>
      </c>
      <c r="G599">
        <v>2</v>
      </c>
      <c r="H599" t="s">
        <v>1712</v>
      </c>
      <c r="I599" t="s">
        <v>108</v>
      </c>
      <c r="J599" t="s">
        <v>1713</v>
      </c>
      <c r="K599" t="s">
        <v>20</v>
      </c>
      <c r="L599" t="s">
        <v>642</v>
      </c>
      <c r="M599" s="3" t="str">
        <f>HYPERLINK("..\..\Imagery\ScannedPhotos\1991\DE91-116.2.jpg")</f>
        <v>..\..\Imagery\ScannedPhotos\1991\DE91-116.2.jpg</v>
      </c>
    </row>
    <row r="600" spans="1:13" x14ac:dyDescent="0.25">
      <c r="A600" t="s">
        <v>1715</v>
      </c>
      <c r="B600">
        <v>498200</v>
      </c>
      <c r="C600">
        <v>5829125</v>
      </c>
      <c r="D600">
        <v>21</v>
      </c>
      <c r="E600" t="s">
        <v>15</v>
      </c>
      <c r="F600" t="s">
        <v>1716</v>
      </c>
      <c r="G600">
        <v>1</v>
      </c>
      <c r="H600" t="s">
        <v>1712</v>
      </c>
      <c r="I600" t="s">
        <v>132</v>
      </c>
      <c r="J600" t="s">
        <v>1713</v>
      </c>
      <c r="K600" t="s">
        <v>20</v>
      </c>
      <c r="L600" t="s">
        <v>642</v>
      </c>
      <c r="M600" s="3" t="str">
        <f>HYPERLINK("..\..\Imagery\ScannedPhotos\1991\DE91-118.jpg")</f>
        <v>..\..\Imagery\ScannedPhotos\1991\DE91-118.jpg</v>
      </c>
    </row>
    <row r="601" spans="1:13" x14ac:dyDescent="0.25">
      <c r="A601" t="s">
        <v>1717</v>
      </c>
      <c r="B601">
        <v>498375</v>
      </c>
      <c r="C601">
        <v>5827075</v>
      </c>
      <c r="D601">
        <v>21</v>
      </c>
      <c r="E601" t="s">
        <v>15</v>
      </c>
      <c r="F601" t="s">
        <v>1718</v>
      </c>
      <c r="G601">
        <v>1</v>
      </c>
      <c r="H601" t="s">
        <v>1712</v>
      </c>
      <c r="I601" t="s">
        <v>129</v>
      </c>
      <c r="J601" t="s">
        <v>1713</v>
      </c>
      <c r="K601" t="s">
        <v>20</v>
      </c>
      <c r="L601" t="s">
        <v>1719</v>
      </c>
      <c r="M601" s="3" t="str">
        <f>HYPERLINK("..\..\Imagery\ScannedPhotos\1991\DE91-120.jpg")</f>
        <v>..\..\Imagery\ScannedPhotos\1991\DE91-120.jpg</v>
      </c>
    </row>
    <row r="602" spans="1:13" x14ac:dyDescent="0.25">
      <c r="A602" t="s">
        <v>1720</v>
      </c>
      <c r="B602">
        <v>493475</v>
      </c>
      <c r="C602">
        <v>5821600</v>
      </c>
      <c r="D602">
        <v>21</v>
      </c>
      <c r="E602" t="s">
        <v>15</v>
      </c>
      <c r="F602" t="s">
        <v>1721</v>
      </c>
      <c r="G602">
        <v>1</v>
      </c>
      <c r="H602" t="s">
        <v>1712</v>
      </c>
      <c r="I602" t="s">
        <v>143</v>
      </c>
      <c r="J602" t="s">
        <v>1713</v>
      </c>
      <c r="K602" t="s">
        <v>20</v>
      </c>
      <c r="L602" t="s">
        <v>322</v>
      </c>
      <c r="M602" s="3" t="str">
        <f>HYPERLINK("..\..\Imagery\ScannedPhotos\1991\DE91-121.jpg")</f>
        <v>..\..\Imagery\ScannedPhotos\1991\DE91-121.jpg</v>
      </c>
    </row>
    <row r="603" spans="1:13" x14ac:dyDescent="0.25">
      <c r="A603" t="s">
        <v>1722</v>
      </c>
      <c r="B603">
        <v>491450</v>
      </c>
      <c r="C603">
        <v>5823150</v>
      </c>
      <c r="D603">
        <v>21</v>
      </c>
      <c r="E603" t="s">
        <v>15</v>
      </c>
      <c r="F603" t="s">
        <v>1723</v>
      </c>
      <c r="G603">
        <v>1</v>
      </c>
      <c r="H603" t="s">
        <v>1712</v>
      </c>
      <c r="I603" t="s">
        <v>147</v>
      </c>
      <c r="J603" t="s">
        <v>1713</v>
      </c>
      <c r="K603" t="s">
        <v>56</v>
      </c>
      <c r="L603" t="s">
        <v>322</v>
      </c>
      <c r="M603" s="3" t="str">
        <f>HYPERLINK("..\..\Imagery\ScannedPhotos\1991\DE91-124.jpg")</f>
        <v>..\..\Imagery\ScannedPhotos\1991\DE91-124.jpg</v>
      </c>
    </row>
    <row r="604" spans="1:13" x14ac:dyDescent="0.25">
      <c r="A604" t="s">
        <v>1724</v>
      </c>
      <c r="B604">
        <v>490975</v>
      </c>
      <c r="C604">
        <v>5823675</v>
      </c>
      <c r="D604">
        <v>21</v>
      </c>
      <c r="E604" t="s">
        <v>15</v>
      </c>
      <c r="F604" t="s">
        <v>1725</v>
      </c>
      <c r="G604">
        <v>1</v>
      </c>
      <c r="H604" t="s">
        <v>1712</v>
      </c>
      <c r="I604" t="s">
        <v>47</v>
      </c>
      <c r="J604" t="s">
        <v>1713</v>
      </c>
      <c r="K604" t="s">
        <v>20</v>
      </c>
      <c r="L604" t="s">
        <v>1726</v>
      </c>
      <c r="M604" s="3" t="str">
        <f>HYPERLINK("..\..\Imagery\ScannedPhotos\1991\DE91-125.jpg")</f>
        <v>..\..\Imagery\ScannedPhotos\1991\DE91-125.jpg</v>
      </c>
    </row>
    <row r="605" spans="1:13" x14ac:dyDescent="0.25">
      <c r="A605" t="s">
        <v>1727</v>
      </c>
      <c r="B605">
        <v>491625</v>
      </c>
      <c r="C605">
        <v>5824575</v>
      </c>
      <c r="D605">
        <v>21</v>
      </c>
      <c r="E605" t="s">
        <v>15</v>
      </c>
      <c r="F605" t="s">
        <v>1728</v>
      </c>
      <c r="G605">
        <v>1</v>
      </c>
      <c r="H605" t="s">
        <v>1712</v>
      </c>
      <c r="I605" t="s">
        <v>52</v>
      </c>
      <c r="J605" t="s">
        <v>1713</v>
      </c>
      <c r="K605" t="s">
        <v>20</v>
      </c>
      <c r="L605" t="s">
        <v>1729</v>
      </c>
      <c r="M605" s="3" t="str">
        <f>HYPERLINK("..\..\Imagery\ScannedPhotos\1991\DE91-126.jpg")</f>
        <v>..\..\Imagery\ScannedPhotos\1991\DE91-126.jpg</v>
      </c>
    </row>
    <row r="606" spans="1:13" x14ac:dyDescent="0.25">
      <c r="A606" t="s">
        <v>1730</v>
      </c>
      <c r="B606">
        <v>535840</v>
      </c>
      <c r="C606">
        <v>5730900</v>
      </c>
      <c r="D606">
        <v>21</v>
      </c>
      <c r="E606" t="s">
        <v>15</v>
      </c>
      <c r="F606" t="s">
        <v>1731</v>
      </c>
      <c r="G606">
        <v>1</v>
      </c>
      <c r="H606" t="s">
        <v>1732</v>
      </c>
      <c r="I606" t="s">
        <v>126</v>
      </c>
      <c r="J606" t="s">
        <v>1733</v>
      </c>
      <c r="K606" t="s">
        <v>228</v>
      </c>
      <c r="L606" t="s">
        <v>1734</v>
      </c>
      <c r="M606" s="3" t="str">
        <f>HYPERLINK("..\..\Imagery\ScannedPhotos\1993\DL93-005.jpg")</f>
        <v>..\..\Imagery\ScannedPhotos\1993\DL93-005.jpg</v>
      </c>
    </row>
    <row r="607" spans="1:13" x14ac:dyDescent="0.25">
      <c r="A607" t="s">
        <v>1735</v>
      </c>
      <c r="B607">
        <v>516318</v>
      </c>
      <c r="C607">
        <v>5728340</v>
      </c>
      <c r="D607">
        <v>21</v>
      </c>
      <c r="E607" t="s">
        <v>15</v>
      </c>
      <c r="F607" t="s">
        <v>1736</v>
      </c>
      <c r="G607">
        <v>1</v>
      </c>
      <c r="H607" t="s">
        <v>1737</v>
      </c>
      <c r="I607" t="s">
        <v>25</v>
      </c>
      <c r="J607" t="s">
        <v>1738</v>
      </c>
      <c r="K607" t="s">
        <v>56</v>
      </c>
      <c r="L607" t="s">
        <v>1739</v>
      </c>
      <c r="M607" s="3" t="str">
        <f>HYPERLINK("..\..\Imagery\ScannedPhotos\1993\DL93-042.jpg")</f>
        <v>..\..\Imagery\ScannedPhotos\1993\DL93-042.jpg</v>
      </c>
    </row>
    <row r="608" spans="1:13" x14ac:dyDescent="0.25">
      <c r="A608" t="s">
        <v>1740</v>
      </c>
      <c r="B608">
        <v>512698</v>
      </c>
      <c r="C608">
        <v>5727633</v>
      </c>
      <c r="D608">
        <v>21</v>
      </c>
      <c r="E608" t="s">
        <v>15</v>
      </c>
      <c r="F608" t="s">
        <v>1741</v>
      </c>
      <c r="G608">
        <v>1</v>
      </c>
      <c r="H608" t="s">
        <v>1737</v>
      </c>
      <c r="I608" t="s">
        <v>360</v>
      </c>
      <c r="J608" t="s">
        <v>1738</v>
      </c>
      <c r="K608" t="s">
        <v>56</v>
      </c>
      <c r="L608" t="s">
        <v>1742</v>
      </c>
      <c r="M608" s="3" t="str">
        <f>HYPERLINK("..\..\Imagery\ScannedPhotos\1993\DL93-048.jpg")</f>
        <v>..\..\Imagery\ScannedPhotos\1993\DL93-048.jpg</v>
      </c>
    </row>
    <row r="609" spans="1:13" x14ac:dyDescent="0.25">
      <c r="A609" t="s">
        <v>32</v>
      </c>
      <c r="B609">
        <v>596446</v>
      </c>
      <c r="C609">
        <v>5792950</v>
      </c>
      <c r="D609">
        <v>21</v>
      </c>
      <c r="E609" t="s">
        <v>15</v>
      </c>
      <c r="F609" t="s">
        <v>1743</v>
      </c>
      <c r="G609">
        <v>40</v>
      </c>
      <c r="H609" t="s">
        <v>813</v>
      </c>
      <c r="I609" t="s">
        <v>65</v>
      </c>
      <c r="J609" t="s">
        <v>814</v>
      </c>
      <c r="K609" t="s">
        <v>228</v>
      </c>
      <c r="L609" t="s">
        <v>1744</v>
      </c>
      <c r="M609" s="3" t="str">
        <f>HYPERLINK("..\..\Imagery\ScannedPhotos\1987\CG87-488.10.jpg")</f>
        <v>..\..\Imagery\ScannedPhotos\1987\CG87-488.10.jpg</v>
      </c>
    </row>
    <row r="610" spans="1:13" x14ac:dyDescent="0.25">
      <c r="A610" t="s">
        <v>32</v>
      </c>
      <c r="B610">
        <v>596446</v>
      </c>
      <c r="C610">
        <v>5792950</v>
      </c>
      <c r="D610">
        <v>21</v>
      </c>
      <c r="E610" t="s">
        <v>15</v>
      </c>
      <c r="F610" t="s">
        <v>1745</v>
      </c>
      <c r="G610">
        <v>40</v>
      </c>
      <c r="H610" t="s">
        <v>813</v>
      </c>
      <c r="I610" t="s">
        <v>401</v>
      </c>
      <c r="J610" t="s">
        <v>814</v>
      </c>
      <c r="K610" t="s">
        <v>56</v>
      </c>
      <c r="L610" t="s">
        <v>37</v>
      </c>
      <c r="M610" s="3" t="str">
        <f>HYPERLINK("..\..\Imagery\ScannedPhotos\1987\CG87-488.11.jpg")</f>
        <v>..\..\Imagery\ScannedPhotos\1987\CG87-488.11.jpg</v>
      </c>
    </row>
    <row r="611" spans="1:13" x14ac:dyDescent="0.25">
      <c r="A611" t="s">
        <v>922</v>
      </c>
      <c r="B611">
        <v>503961</v>
      </c>
      <c r="C611">
        <v>5941547</v>
      </c>
      <c r="D611">
        <v>21</v>
      </c>
      <c r="E611" t="s">
        <v>15</v>
      </c>
      <c r="F611" t="s">
        <v>1746</v>
      </c>
      <c r="G611">
        <v>7</v>
      </c>
      <c r="K611" t="s">
        <v>56</v>
      </c>
      <c r="L611" t="s">
        <v>1747</v>
      </c>
      <c r="M611" s="3" t="str">
        <f>HYPERLINK("..\..\Imagery\ScannedPhotos\2004\CG04-245.2.jpg")</f>
        <v>..\..\Imagery\ScannedPhotos\2004\CG04-245.2.jpg</v>
      </c>
    </row>
    <row r="612" spans="1:13" x14ac:dyDescent="0.25">
      <c r="A612" t="s">
        <v>1748</v>
      </c>
      <c r="B612">
        <v>558172</v>
      </c>
      <c r="C612">
        <v>5813098</v>
      </c>
      <c r="D612">
        <v>21</v>
      </c>
      <c r="E612" t="s">
        <v>15</v>
      </c>
      <c r="F612" t="s">
        <v>1749</v>
      </c>
      <c r="G612">
        <v>10</v>
      </c>
      <c r="H612" t="s">
        <v>1750</v>
      </c>
      <c r="I612" t="s">
        <v>222</v>
      </c>
      <c r="J612" t="s">
        <v>1751</v>
      </c>
      <c r="K612" t="s">
        <v>56</v>
      </c>
      <c r="L612" t="s">
        <v>1752</v>
      </c>
      <c r="M612" s="3" t="str">
        <f>HYPERLINK("..\..\Imagery\ScannedPhotos\1987\CG87-055.8.jpg")</f>
        <v>..\..\Imagery\ScannedPhotos\1987\CG87-055.8.jpg</v>
      </c>
    </row>
    <row r="613" spans="1:13" x14ac:dyDescent="0.25">
      <c r="A613" t="s">
        <v>1748</v>
      </c>
      <c r="B613">
        <v>558172</v>
      </c>
      <c r="C613">
        <v>5813098</v>
      </c>
      <c r="D613">
        <v>21</v>
      </c>
      <c r="E613" t="s">
        <v>15</v>
      </c>
      <c r="F613" t="s">
        <v>1753</v>
      </c>
      <c r="G613">
        <v>10</v>
      </c>
      <c r="H613" t="s">
        <v>1750</v>
      </c>
      <c r="I613" t="s">
        <v>386</v>
      </c>
      <c r="J613" t="s">
        <v>1751</v>
      </c>
      <c r="K613" t="s">
        <v>20</v>
      </c>
      <c r="L613" t="s">
        <v>1754</v>
      </c>
      <c r="M613" s="3" t="str">
        <f>HYPERLINK("..\..\Imagery\ScannedPhotos\1987\CG87-055.5.jpg")</f>
        <v>..\..\Imagery\ScannedPhotos\1987\CG87-055.5.jpg</v>
      </c>
    </row>
    <row r="614" spans="1:13" x14ac:dyDescent="0.25">
      <c r="A614" t="s">
        <v>1748</v>
      </c>
      <c r="B614">
        <v>558172</v>
      </c>
      <c r="C614">
        <v>5813098</v>
      </c>
      <c r="D614">
        <v>21</v>
      </c>
      <c r="E614" t="s">
        <v>15</v>
      </c>
      <c r="F614" t="s">
        <v>1755</v>
      </c>
      <c r="G614">
        <v>10</v>
      </c>
      <c r="H614" t="s">
        <v>1750</v>
      </c>
      <c r="I614" t="s">
        <v>418</v>
      </c>
      <c r="J614" t="s">
        <v>1751</v>
      </c>
      <c r="K614" t="s">
        <v>56</v>
      </c>
      <c r="L614" t="s">
        <v>1756</v>
      </c>
      <c r="M614" s="3" t="str">
        <f>HYPERLINK("..\..\Imagery\ScannedPhotos\1987\CG87-055.9.jpg")</f>
        <v>..\..\Imagery\ScannedPhotos\1987\CG87-055.9.jpg</v>
      </c>
    </row>
    <row r="615" spans="1:13" x14ac:dyDescent="0.25">
      <c r="A615" t="s">
        <v>1757</v>
      </c>
      <c r="B615">
        <v>587941</v>
      </c>
      <c r="C615">
        <v>5782624</v>
      </c>
      <c r="D615">
        <v>21</v>
      </c>
      <c r="E615" t="s">
        <v>15</v>
      </c>
      <c r="F615" t="s">
        <v>1758</v>
      </c>
      <c r="G615">
        <v>1</v>
      </c>
      <c r="H615" t="s">
        <v>1759</v>
      </c>
      <c r="I615" t="s">
        <v>41</v>
      </c>
      <c r="J615" t="s">
        <v>36</v>
      </c>
      <c r="K615" t="s">
        <v>20</v>
      </c>
      <c r="L615" t="s">
        <v>1760</v>
      </c>
      <c r="M615" s="3" t="str">
        <f>HYPERLINK("..\..\Imagery\ScannedPhotos\1987\JS87-588.jpg")</f>
        <v>..\..\Imagery\ScannedPhotos\1987\JS87-588.jpg</v>
      </c>
    </row>
    <row r="616" spans="1:13" x14ac:dyDescent="0.25">
      <c r="A616" t="s">
        <v>1761</v>
      </c>
      <c r="B616">
        <v>377444</v>
      </c>
      <c r="C616">
        <v>6057873</v>
      </c>
      <c r="D616">
        <v>21</v>
      </c>
      <c r="E616" t="s">
        <v>15</v>
      </c>
      <c r="F616" t="s">
        <v>1762</v>
      </c>
      <c r="G616">
        <v>1</v>
      </c>
      <c r="H616" t="s">
        <v>1763</v>
      </c>
      <c r="I616" t="s">
        <v>647</v>
      </c>
      <c r="J616" t="s">
        <v>1764</v>
      </c>
      <c r="K616" t="s">
        <v>20</v>
      </c>
      <c r="L616" t="s">
        <v>1765</v>
      </c>
      <c r="M616" s="3" t="str">
        <f>HYPERLINK("..\..\Imagery\ScannedPhotos\1978\AL78-236.jpg")</f>
        <v>..\..\Imagery\ScannedPhotos\1978\AL78-236.jpg</v>
      </c>
    </row>
    <row r="617" spans="1:13" x14ac:dyDescent="0.25">
      <c r="A617" t="s">
        <v>1766</v>
      </c>
      <c r="B617">
        <v>362804</v>
      </c>
      <c r="C617">
        <v>6081194</v>
      </c>
      <c r="D617">
        <v>21</v>
      </c>
      <c r="E617" t="s">
        <v>15</v>
      </c>
      <c r="F617" t="s">
        <v>1767</v>
      </c>
      <c r="G617">
        <v>1</v>
      </c>
      <c r="H617" t="s">
        <v>1763</v>
      </c>
      <c r="I617" t="s">
        <v>30</v>
      </c>
      <c r="J617" t="s">
        <v>1764</v>
      </c>
      <c r="K617" t="s">
        <v>56</v>
      </c>
      <c r="L617" t="s">
        <v>1768</v>
      </c>
      <c r="M617" s="3" t="str">
        <f>HYPERLINK("..\..\Imagery\ScannedPhotos\1978\AL78-243.jpg")</f>
        <v>..\..\Imagery\ScannedPhotos\1978\AL78-243.jpg</v>
      </c>
    </row>
    <row r="618" spans="1:13" x14ac:dyDescent="0.25">
      <c r="A618" t="s">
        <v>1769</v>
      </c>
      <c r="B618">
        <v>348059</v>
      </c>
      <c r="C618">
        <v>6060060</v>
      </c>
      <c r="D618">
        <v>21</v>
      </c>
      <c r="E618" t="s">
        <v>15</v>
      </c>
      <c r="F618" t="s">
        <v>1770</v>
      </c>
      <c r="G618">
        <v>1</v>
      </c>
      <c r="H618" t="s">
        <v>1763</v>
      </c>
      <c r="I618" t="s">
        <v>122</v>
      </c>
      <c r="J618" t="s">
        <v>1764</v>
      </c>
      <c r="K618" t="s">
        <v>56</v>
      </c>
      <c r="L618" t="s">
        <v>1771</v>
      </c>
      <c r="M618" s="3" t="str">
        <f>HYPERLINK("..\..\Imagery\ScannedPhotos\1978\AL78-257.jpg")</f>
        <v>..\..\Imagery\ScannedPhotos\1978\AL78-257.jpg</v>
      </c>
    </row>
    <row r="619" spans="1:13" x14ac:dyDescent="0.25">
      <c r="A619" t="s">
        <v>1772</v>
      </c>
      <c r="B619">
        <v>399065</v>
      </c>
      <c r="C619">
        <v>6005697</v>
      </c>
      <c r="D619">
        <v>21</v>
      </c>
      <c r="E619" t="s">
        <v>15</v>
      </c>
      <c r="F619" t="s">
        <v>1773</v>
      </c>
      <c r="G619">
        <v>3</v>
      </c>
      <c r="H619" t="s">
        <v>1593</v>
      </c>
      <c r="I619" t="s">
        <v>119</v>
      </c>
      <c r="J619" t="s">
        <v>1594</v>
      </c>
      <c r="K619" t="s">
        <v>20</v>
      </c>
      <c r="L619" t="s">
        <v>1774</v>
      </c>
      <c r="M619" s="3" t="str">
        <f>HYPERLINK("..\..\Imagery\ScannedPhotos\1980\NN80-025.3.jpg")</f>
        <v>..\..\Imagery\ScannedPhotos\1980\NN80-025.3.jpg</v>
      </c>
    </row>
    <row r="620" spans="1:13" x14ac:dyDescent="0.25">
      <c r="A620" t="s">
        <v>1772</v>
      </c>
      <c r="B620">
        <v>399065</v>
      </c>
      <c r="C620">
        <v>6005697</v>
      </c>
      <c r="D620">
        <v>21</v>
      </c>
      <c r="E620" t="s">
        <v>15</v>
      </c>
      <c r="F620" t="s">
        <v>1775</v>
      </c>
      <c r="G620">
        <v>3</v>
      </c>
      <c r="H620" t="s">
        <v>1593</v>
      </c>
      <c r="I620" t="s">
        <v>114</v>
      </c>
      <c r="J620" t="s">
        <v>1594</v>
      </c>
      <c r="K620" t="s">
        <v>20</v>
      </c>
      <c r="L620" t="s">
        <v>1774</v>
      </c>
      <c r="M620" s="3" t="str">
        <f>HYPERLINK("..\..\Imagery\ScannedPhotos\1980\NN80-025.2.jpg")</f>
        <v>..\..\Imagery\ScannedPhotos\1980\NN80-025.2.jpg</v>
      </c>
    </row>
    <row r="621" spans="1:13" x14ac:dyDescent="0.25">
      <c r="A621" t="s">
        <v>1772</v>
      </c>
      <c r="B621">
        <v>399065</v>
      </c>
      <c r="C621">
        <v>6005697</v>
      </c>
      <c r="D621">
        <v>21</v>
      </c>
      <c r="E621" t="s">
        <v>15</v>
      </c>
      <c r="F621" t="s">
        <v>1776</v>
      </c>
      <c r="G621">
        <v>3</v>
      </c>
      <c r="H621" t="s">
        <v>1593</v>
      </c>
      <c r="I621" t="s">
        <v>30</v>
      </c>
      <c r="J621" t="s">
        <v>1594</v>
      </c>
      <c r="K621" t="s">
        <v>20</v>
      </c>
      <c r="L621" t="s">
        <v>1777</v>
      </c>
      <c r="M621" s="3" t="str">
        <f>HYPERLINK("..\..\Imagery\ScannedPhotos\1980\NN80-025.1.jpg")</f>
        <v>..\..\Imagery\ScannedPhotos\1980\NN80-025.1.jpg</v>
      </c>
    </row>
    <row r="622" spans="1:13" x14ac:dyDescent="0.25">
      <c r="A622" t="s">
        <v>1591</v>
      </c>
      <c r="B622">
        <v>398164</v>
      </c>
      <c r="C622">
        <v>6005461</v>
      </c>
      <c r="D622">
        <v>21</v>
      </c>
      <c r="E622" t="s">
        <v>15</v>
      </c>
      <c r="F622" t="s">
        <v>1778</v>
      </c>
      <c r="G622">
        <v>3</v>
      </c>
      <c r="H622" t="s">
        <v>1593</v>
      </c>
      <c r="I622" t="s">
        <v>126</v>
      </c>
      <c r="J622" t="s">
        <v>1594</v>
      </c>
      <c r="K622" t="s">
        <v>20</v>
      </c>
      <c r="L622" t="s">
        <v>1779</v>
      </c>
      <c r="M622" s="3" t="str">
        <f>HYPERLINK("..\..\Imagery\ScannedPhotos\1980\NN80-026.2.jpg")</f>
        <v>..\..\Imagery\ScannedPhotos\1980\NN80-026.2.jpg</v>
      </c>
    </row>
    <row r="623" spans="1:13" x14ac:dyDescent="0.25">
      <c r="A623" t="s">
        <v>1591</v>
      </c>
      <c r="B623">
        <v>398164</v>
      </c>
      <c r="C623">
        <v>6005461</v>
      </c>
      <c r="D623">
        <v>21</v>
      </c>
      <c r="E623" t="s">
        <v>15</v>
      </c>
      <c r="F623" t="s">
        <v>1780</v>
      </c>
      <c r="G623">
        <v>3</v>
      </c>
      <c r="H623" t="s">
        <v>1593</v>
      </c>
      <c r="I623" t="s">
        <v>108</v>
      </c>
      <c r="J623" t="s">
        <v>1594</v>
      </c>
      <c r="K623" t="s">
        <v>20</v>
      </c>
      <c r="L623" t="s">
        <v>1781</v>
      </c>
      <c r="M623" s="3" t="str">
        <f>HYPERLINK("..\..\Imagery\ScannedPhotos\1980\NN80-026.3.jpg")</f>
        <v>..\..\Imagery\ScannedPhotos\1980\NN80-026.3.jpg</v>
      </c>
    </row>
    <row r="624" spans="1:13" x14ac:dyDescent="0.25">
      <c r="A624" t="s">
        <v>1782</v>
      </c>
      <c r="B624">
        <v>502202</v>
      </c>
      <c r="C624">
        <v>5708294</v>
      </c>
      <c r="D624">
        <v>21</v>
      </c>
      <c r="E624" t="s">
        <v>15</v>
      </c>
      <c r="F624" t="s">
        <v>1783</v>
      </c>
      <c r="G624">
        <v>3</v>
      </c>
      <c r="H624" t="s">
        <v>1784</v>
      </c>
      <c r="I624" t="s">
        <v>132</v>
      </c>
      <c r="J624" t="s">
        <v>1738</v>
      </c>
      <c r="K624" t="s">
        <v>20</v>
      </c>
      <c r="L624" t="s">
        <v>1785</v>
      </c>
      <c r="M624" s="3" t="str">
        <f>HYPERLINK("..\..\Imagery\ScannedPhotos\1993\VN93-311.2.jpg")</f>
        <v>..\..\Imagery\ScannedPhotos\1993\VN93-311.2.jpg</v>
      </c>
    </row>
    <row r="625" spans="1:14" x14ac:dyDescent="0.25">
      <c r="A625" t="s">
        <v>1782</v>
      </c>
      <c r="B625">
        <v>502202</v>
      </c>
      <c r="C625">
        <v>5708294</v>
      </c>
      <c r="D625">
        <v>21</v>
      </c>
      <c r="E625" t="s">
        <v>15</v>
      </c>
      <c r="F625" t="s">
        <v>1786</v>
      </c>
      <c r="G625">
        <v>3</v>
      </c>
      <c r="H625" t="s">
        <v>1784</v>
      </c>
      <c r="I625" t="s">
        <v>129</v>
      </c>
      <c r="J625" t="s">
        <v>1738</v>
      </c>
      <c r="K625" t="s">
        <v>20</v>
      </c>
      <c r="L625" t="s">
        <v>1787</v>
      </c>
      <c r="M625" s="3" t="str">
        <f>HYPERLINK("..\..\Imagery\ScannedPhotos\1993\VN93-311.3.jpg")</f>
        <v>..\..\Imagery\ScannedPhotos\1993\VN93-311.3.jpg</v>
      </c>
    </row>
    <row r="626" spans="1:14" x14ac:dyDescent="0.25">
      <c r="A626" t="s">
        <v>1788</v>
      </c>
      <c r="B626">
        <v>494000</v>
      </c>
      <c r="C626">
        <v>5719100</v>
      </c>
      <c r="D626">
        <v>21</v>
      </c>
      <c r="E626" t="s">
        <v>15</v>
      </c>
      <c r="F626" t="s">
        <v>1789</v>
      </c>
      <c r="G626">
        <v>2</v>
      </c>
      <c r="H626" t="s">
        <v>1784</v>
      </c>
      <c r="I626" t="s">
        <v>143</v>
      </c>
      <c r="J626" t="s">
        <v>1738</v>
      </c>
      <c r="K626" t="s">
        <v>56</v>
      </c>
      <c r="L626" t="s">
        <v>1790</v>
      </c>
      <c r="M626" s="3" t="str">
        <f>HYPERLINK("..\..\Imagery\ScannedPhotos\1993\VN93-320.1.jpg")</f>
        <v>..\..\Imagery\ScannedPhotos\1993\VN93-320.1.jpg</v>
      </c>
    </row>
    <row r="627" spans="1:14" x14ac:dyDescent="0.25">
      <c r="A627" t="s">
        <v>1791</v>
      </c>
      <c r="B627">
        <v>468184</v>
      </c>
      <c r="C627">
        <v>5877922</v>
      </c>
      <c r="D627">
        <v>21</v>
      </c>
      <c r="E627" t="s">
        <v>15</v>
      </c>
      <c r="F627" t="s">
        <v>1792</v>
      </c>
      <c r="G627">
        <v>2</v>
      </c>
      <c r="K627" t="s">
        <v>935</v>
      </c>
      <c r="L627" t="s">
        <v>1793</v>
      </c>
      <c r="M627" s="3" t="str">
        <f>HYPERLINK("..\..\Imagery\ScannedPhotos\2004\CG04-149.1.jpg")</f>
        <v>..\..\Imagery\ScannedPhotos\2004\CG04-149.1.jpg</v>
      </c>
    </row>
    <row r="628" spans="1:14" x14ac:dyDescent="0.25">
      <c r="A628" t="s">
        <v>1794</v>
      </c>
      <c r="B628">
        <v>580402</v>
      </c>
      <c r="C628">
        <v>5930858</v>
      </c>
      <c r="D628">
        <v>21</v>
      </c>
      <c r="E628" t="s">
        <v>15</v>
      </c>
      <c r="F628" t="s">
        <v>1795</v>
      </c>
      <c r="G628">
        <v>5</v>
      </c>
      <c r="H628" t="s">
        <v>1796</v>
      </c>
      <c r="I628" t="s">
        <v>304</v>
      </c>
      <c r="J628" t="s">
        <v>1797</v>
      </c>
      <c r="K628" t="s">
        <v>20</v>
      </c>
      <c r="L628" t="s">
        <v>1798</v>
      </c>
      <c r="M628" s="3" t="str">
        <f>HYPERLINK("..\..\Imagery\ScannedPhotos\1985\VN85-416.1.jpg")</f>
        <v>..\..\Imagery\ScannedPhotos\1985\VN85-416.1.jpg</v>
      </c>
    </row>
    <row r="629" spans="1:14" x14ac:dyDescent="0.25">
      <c r="A629" t="s">
        <v>1799</v>
      </c>
      <c r="B629">
        <v>580978</v>
      </c>
      <c r="C629">
        <v>5930664</v>
      </c>
      <c r="D629">
        <v>21</v>
      </c>
      <c r="E629" t="s">
        <v>15</v>
      </c>
      <c r="F629" t="s">
        <v>1800</v>
      </c>
      <c r="G629">
        <v>3</v>
      </c>
      <c r="H629" t="s">
        <v>1796</v>
      </c>
      <c r="I629" t="s">
        <v>119</v>
      </c>
      <c r="J629" t="s">
        <v>1797</v>
      </c>
      <c r="K629" t="s">
        <v>20</v>
      </c>
      <c r="L629" t="s">
        <v>1801</v>
      </c>
      <c r="M629" s="3" t="str">
        <f>HYPERLINK("..\..\Imagery\ScannedPhotos\1985\VN85-419.2.jpg")</f>
        <v>..\..\Imagery\ScannedPhotos\1985\VN85-419.2.jpg</v>
      </c>
    </row>
    <row r="630" spans="1:14" x14ac:dyDescent="0.25">
      <c r="A630" t="s">
        <v>1799</v>
      </c>
      <c r="B630">
        <v>580978</v>
      </c>
      <c r="C630">
        <v>5930664</v>
      </c>
      <c r="D630">
        <v>21</v>
      </c>
      <c r="E630" t="s">
        <v>15</v>
      </c>
      <c r="F630" t="s">
        <v>1802</v>
      </c>
      <c r="G630">
        <v>3</v>
      </c>
      <c r="H630" t="s">
        <v>1796</v>
      </c>
      <c r="I630" t="s">
        <v>122</v>
      </c>
      <c r="J630" t="s">
        <v>1797</v>
      </c>
      <c r="K630" t="s">
        <v>20</v>
      </c>
      <c r="L630" t="s">
        <v>661</v>
      </c>
      <c r="M630" s="3" t="str">
        <f>HYPERLINK("..\..\Imagery\ScannedPhotos\1985\VN85-419.3.jpg")</f>
        <v>..\..\Imagery\ScannedPhotos\1985\VN85-419.3.jpg</v>
      </c>
    </row>
    <row r="631" spans="1:14" x14ac:dyDescent="0.25">
      <c r="A631" t="s">
        <v>1799</v>
      </c>
      <c r="B631">
        <v>580978</v>
      </c>
      <c r="C631">
        <v>5930664</v>
      </c>
      <c r="D631">
        <v>21</v>
      </c>
      <c r="E631" t="s">
        <v>15</v>
      </c>
      <c r="F631" t="s">
        <v>1803</v>
      </c>
      <c r="G631">
        <v>3</v>
      </c>
      <c r="H631" t="s">
        <v>1796</v>
      </c>
      <c r="I631" t="s">
        <v>114</v>
      </c>
      <c r="J631" t="s">
        <v>1797</v>
      </c>
      <c r="K631" t="s">
        <v>20</v>
      </c>
      <c r="L631" t="s">
        <v>1804</v>
      </c>
      <c r="M631" s="3" t="str">
        <f>HYPERLINK("..\..\Imagery\ScannedPhotos\1985\VN85-419.1.jpg")</f>
        <v>..\..\Imagery\ScannedPhotos\1985\VN85-419.1.jpg</v>
      </c>
    </row>
    <row r="632" spans="1:14" x14ac:dyDescent="0.25">
      <c r="A632" t="s">
        <v>1805</v>
      </c>
      <c r="B632">
        <v>486400</v>
      </c>
      <c r="C632">
        <v>5766492</v>
      </c>
      <c r="D632">
        <v>21</v>
      </c>
      <c r="E632" t="s">
        <v>15</v>
      </c>
      <c r="F632" t="s">
        <v>1806</v>
      </c>
      <c r="G632">
        <v>1</v>
      </c>
      <c r="H632" t="s">
        <v>746</v>
      </c>
      <c r="I632" t="s">
        <v>122</v>
      </c>
      <c r="J632" t="s">
        <v>747</v>
      </c>
      <c r="K632" t="s">
        <v>228</v>
      </c>
      <c r="L632" t="s">
        <v>1807</v>
      </c>
      <c r="M632" s="3" t="str">
        <f>HYPERLINK("..\..\Imagery\ScannedPhotos\1992\VN92-308.3E.jpg")</f>
        <v>..\..\Imagery\ScannedPhotos\1992\VN92-308.3E.jpg</v>
      </c>
      <c r="N632" t="s">
        <v>1808</v>
      </c>
    </row>
    <row r="633" spans="1:14" x14ac:dyDescent="0.25">
      <c r="A633" t="s">
        <v>1809</v>
      </c>
      <c r="B633">
        <v>571489</v>
      </c>
      <c r="C633">
        <v>5796641</v>
      </c>
      <c r="D633">
        <v>21</v>
      </c>
      <c r="E633" t="s">
        <v>15</v>
      </c>
      <c r="F633" t="s">
        <v>1810</v>
      </c>
      <c r="G633">
        <v>4</v>
      </c>
      <c r="K633" t="s">
        <v>20</v>
      </c>
      <c r="L633" t="s">
        <v>1811</v>
      </c>
      <c r="M633" s="3" t="str">
        <f>HYPERLINK("..\..\Imagery\ScannedPhotos\2003\CG03-146.3.jpg")</f>
        <v>..\..\Imagery\ScannedPhotos\2003\CG03-146.3.jpg</v>
      </c>
    </row>
    <row r="634" spans="1:14" x14ac:dyDescent="0.25">
      <c r="A634" t="s">
        <v>1812</v>
      </c>
      <c r="B634">
        <v>568232</v>
      </c>
      <c r="C634">
        <v>5796848</v>
      </c>
      <c r="D634">
        <v>21</v>
      </c>
      <c r="E634" t="s">
        <v>15</v>
      </c>
      <c r="F634" t="s">
        <v>1813</v>
      </c>
      <c r="G634">
        <v>2</v>
      </c>
      <c r="K634" t="s">
        <v>56</v>
      </c>
      <c r="L634" t="s">
        <v>1814</v>
      </c>
      <c r="M634" s="3" t="str">
        <f>HYPERLINK("..\..\Imagery\ScannedPhotos\2003\CG03-153.1.jpg")</f>
        <v>..\..\Imagery\ScannedPhotos\2003\CG03-153.1.jpg</v>
      </c>
    </row>
    <row r="635" spans="1:14" x14ac:dyDescent="0.25">
      <c r="A635" t="s">
        <v>1812</v>
      </c>
      <c r="B635">
        <v>568232</v>
      </c>
      <c r="C635">
        <v>5796848</v>
      </c>
      <c r="D635">
        <v>21</v>
      </c>
      <c r="E635" t="s">
        <v>15</v>
      </c>
      <c r="F635" t="s">
        <v>1815</v>
      </c>
      <c r="G635">
        <v>2</v>
      </c>
      <c r="K635" t="s">
        <v>56</v>
      </c>
      <c r="L635" t="s">
        <v>1816</v>
      </c>
      <c r="M635" s="3" t="str">
        <f>HYPERLINK("..\..\Imagery\ScannedPhotos\2003\CG03-153.2.jpg")</f>
        <v>..\..\Imagery\ScannedPhotos\2003\CG03-153.2.jpg</v>
      </c>
    </row>
    <row r="636" spans="1:14" x14ac:dyDescent="0.25">
      <c r="A636" t="s">
        <v>1817</v>
      </c>
      <c r="B636">
        <v>377279</v>
      </c>
      <c r="C636">
        <v>5974704</v>
      </c>
      <c r="D636">
        <v>21</v>
      </c>
      <c r="E636" t="s">
        <v>15</v>
      </c>
      <c r="F636" t="s">
        <v>1818</v>
      </c>
      <c r="G636">
        <v>1</v>
      </c>
      <c r="H636" t="s">
        <v>1424</v>
      </c>
      <c r="I636" t="s">
        <v>47</v>
      </c>
      <c r="J636" t="s">
        <v>623</v>
      </c>
      <c r="K636" t="s">
        <v>56</v>
      </c>
      <c r="L636" t="s">
        <v>1819</v>
      </c>
      <c r="M636" s="3" t="str">
        <f>HYPERLINK("..\..\Imagery\ScannedPhotos\1980\NN80-146.jpg")</f>
        <v>..\..\Imagery\ScannedPhotos\1980\NN80-146.jpg</v>
      </c>
    </row>
    <row r="637" spans="1:14" x14ac:dyDescent="0.25">
      <c r="A637" t="s">
        <v>1820</v>
      </c>
      <c r="B637">
        <v>494162</v>
      </c>
      <c r="C637">
        <v>5945203</v>
      </c>
      <c r="D637">
        <v>21</v>
      </c>
      <c r="E637" t="s">
        <v>15</v>
      </c>
      <c r="F637" t="s">
        <v>1821</v>
      </c>
      <c r="G637">
        <v>2</v>
      </c>
      <c r="H637" t="s">
        <v>443</v>
      </c>
      <c r="I637" t="s">
        <v>217</v>
      </c>
      <c r="J637" t="s">
        <v>48</v>
      </c>
      <c r="K637" t="s">
        <v>20</v>
      </c>
      <c r="L637" t="s">
        <v>1822</v>
      </c>
      <c r="M637" s="3" t="str">
        <f>HYPERLINK("..\..\Imagery\ScannedPhotos\1981\CG81-047.1.jpg")</f>
        <v>..\..\Imagery\ScannedPhotos\1981\CG81-047.1.jpg</v>
      </c>
    </row>
    <row r="638" spans="1:14" x14ac:dyDescent="0.25">
      <c r="A638" t="s">
        <v>1820</v>
      </c>
      <c r="B638">
        <v>494162</v>
      </c>
      <c r="C638">
        <v>5945203</v>
      </c>
      <c r="D638">
        <v>21</v>
      </c>
      <c r="E638" t="s">
        <v>15</v>
      </c>
      <c r="F638" t="s">
        <v>1823</v>
      </c>
      <c r="G638">
        <v>2</v>
      </c>
      <c r="H638" t="s">
        <v>443</v>
      </c>
      <c r="I638" t="s">
        <v>214</v>
      </c>
      <c r="J638" t="s">
        <v>48</v>
      </c>
      <c r="K638" t="s">
        <v>20</v>
      </c>
      <c r="L638" t="s">
        <v>1822</v>
      </c>
      <c r="M638" s="3" t="str">
        <f>HYPERLINK("..\..\Imagery\ScannedPhotos\1981\CG81-047.2.jpg")</f>
        <v>..\..\Imagery\ScannedPhotos\1981\CG81-047.2.jpg</v>
      </c>
    </row>
    <row r="639" spans="1:14" x14ac:dyDescent="0.25">
      <c r="A639" t="s">
        <v>1824</v>
      </c>
      <c r="B639">
        <v>370307</v>
      </c>
      <c r="C639">
        <v>5889007</v>
      </c>
      <c r="D639">
        <v>21</v>
      </c>
      <c r="E639" t="s">
        <v>15</v>
      </c>
      <c r="F639" t="s">
        <v>1825</v>
      </c>
      <c r="G639">
        <v>4</v>
      </c>
      <c r="H639" t="s">
        <v>1826</v>
      </c>
      <c r="I639" t="s">
        <v>108</v>
      </c>
      <c r="J639" t="s">
        <v>557</v>
      </c>
      <c r="K639" t="s">
        <v>20</v>
      </c>
      <c r="L639" t="s">
        <v>1827</v>
      </c>
      <c r="M639" s="3" t="str">
        <f>HYPERLINK("..\..\Imagery\ScannedPhotos\1995\CG95-206.1.jpg")</f>
        <v>..\..\Imagery\ScannedPhotos\1995\CG95-206.1.jpg</v>
      </c>
    </row>
    <row r="640" spans="1:14" x14ac:dyDescent="0.25">
      <c r="A640" t="s">
        <v>1828</v>
      </c>
      <c r="B640">
        <v>381009</v>
      </c>
      <c r="C640">
        <v>5921419</v>
      </c>
      <c r="D640">
        <v>21</v>
      </c>
      <c r="E640" t="s">
        <v>15</v>
      </c>
      <c r="F640" t="s">
        <v>1829</v>
      </c>
      <c r="G640">
        <v>2</v>
      </c>
      <c r="H640" t="s">
        <v>1826</v>
      </c>
      <c r="I640" t="s">
        <v>65</v>
      </c>
      <c r="J640" t="s">
        <v>557</v>
      </c>
      <c r="K640" t="s">
        <v>20</v>
      </c>
      <c r="L640" t="s">
        <v>1830</v>
      </c>
      <c r="M640" s="3" t="str">
        <f>HYPERLINK("..\..\Imagery\ScannedPhotos\1995\CG95-221.1.jpg")</f>
        <v>..\..\Imagery\ScannedPhotos\1995\CG95-221.1.jpg</v>
      </c>
    </row>
    <row r="641" spans="1:13" x14ac:dyDescent="0.25">
      <c r="A641" t="s">
        <v>1831</v>
      </c>
      <c r="B641">
        <v>430750</v>
      </c>
      <c r="C641">
        <v>6085049</v>
      </c>
      <c r="D641">
        <v>21</v>
      </c>
      <c r="E641" t="s">
        <v>15</v>
      </c>
      <c r="F641" t="s">
        <v>1832</v>
      </c>
      <c r="G641">
        <v>3</v>
      </c>
      <c r="H641" t="s">
        <v>1833</v>
      </c>
      <c r="I641" t="s">
        <v>209</v>
      </c>
      <c r="J641" t="s">
        <v>610</v>
      </c>
      <c r="K641" t="s">
        <v>20</v>
      </c>
      <c r="L641" t="s">
        <v>1834</v>
      </c>
      <c r="M641" s="3" t="str">
        <f>HYPERLINK("..\..\Imagery\ScannedPhotos\1979\CG79-154.2.jpg")</f>
        <v>..\..\Imagery\ScannedPhotos\1979\CG79-154.2.jpg</v>
      </c>
    </row>
    <row r="642" spans="1:13" x14ac:dyDescent="0.25">
      <c r="A642" t="s">
        <v>1831</v>
      </c>
      <c r="B642">
        <v>430750</v>
      </c>
      <c r="C642">
        <v>6085049</v>
      </c>
      <c r="D642">
        <v>21</v>
      </c>
      <c r="E642" t="s">
        <v>15</v>
      </c>
      <c r="F642" t="s">
        <v>1835</v>
      </c>
      <c r="G642">
        <v>3</v>
      </c>
      <c r="H642" t="s">
        <v>1833</v>
      </c>
      <c r="I642" t="s">
        <v>386</v>
      </c>
      <c r="J642" t="s">
        <v>610</v>
      </c>
      <c r="K642" t="s">
        <v>20</v>
      </c>
      <c r="L642" t="s">
        <v>1834</v>
      </c>
      <c r="M642" s="3" t="str">
        <f>HYPERLINK("..\..\Imagery\ScannedPhotos\1979\CG79-154.3.jpg")</f>
        <v>..\..\Imagery\ScannedPhotos\1979\CG79-154.3.jpg</v>
      </c>
    </row>
    <row r="643" spans="1:13" x14ac:dyDescent="0.25">
      <c r="A643" t="s">
        <v>1831</v>
      </c>
      <c r="B643">
        <v>430750</v>
      </c>
      <c r="C643">
        <v>6085049</v>
      </c>
      <c r="D643">
        <v>21</v>
      </c>
      <c r="E643" t="s">
        <v>15</v>
      </c>
      <c r="F643" t="s">
        <v>1836</v>
      </c>
      <c r="G643">
        <v>3</v>
      </c>
      <c r="H643" t="s">
        <v>1833</v>
      </c>
      <c r="I643" t="s">
        <v>94</v>
      </c>
      <c r="J643" t="s">
        <v>610</v>
      </c>
      <c r="K643" t="s">
        <v>20</v>
      </c>
      <c r="L643" t="s">
        <v>1834</v>
      </c>
      <c r="M643" s="3" t="str">
        <f>HYPERLINK("..\..\Imagery\ScannedPhotos\1979\CG79-154.1.jpg")</f>
        <v>..\..\Imagery\ScannedPhotos\1979\CG79-154.1.jpg</v>
      </c>
    </row>
    <row r="644" spans="1:13" x14ac:dyDescent="0.25">
      <c r="A644" t="s">
        <v>1837</v>
      </c>
      <c r="B644">
        <v>393109</v>
      </c>
      <c r="C644">
        <v>6071679</v>
      </c>
      <c r="D644">
        <v>21</v>
      </c>
      <c r="E644" t="s">
        <v>15</v>
      </c>
      <c r="F644" t="s">
        <v>1838</v>
      </c>
      <c r="G644">
        <v>1</v>
      </c>
      <c r="H644" t="s">
        <v>1833</v>
      </c>
      <c r="I644" t="s">
        <v>214</v>
      </c>
      <c r="J644" t="s">
        <v>610</v>
      </c>
      <c r="K644" t="s">
        <v>20</v>
      </c>
      <c r="L644" t="s">
        <v>1839</v>
      </c>
      <c r="M644" s="3" t="str">
        <f>HYPERLINK("..\..\Imagery\ScannedPhotos\1979\CG79-161.jpg")</f>
        <v>..\..\Imagery\ScannedPhotos\1979\CG79-161.jpg</v>
      </c>
    </row>
    <row r="645" spans="1:13" x14ac:dyDescent="0.25">
      <c r="A645" t="s">
        <v>1840</v>
      </c>
      <c r="B645">
        <v>408645</v>
      </c>
      <c r="C645">
        <v>5996726</v>
      </c>
      <c r="D645">
        <v>21</v>
      </c>
      <c r="E645" t="s">
        <v>15</v>
      </c>
      <c r="F645" t="s">
        <v>1841</v>
      </c>
      <c r="G645">
        <v>1</v>
      </c>
      <c r="H645" t="s">
        <v>1156</v>
      </c>
      <c r="I645" t="s">
        <v>647</v>
      </c>
      <c r="J645" t="s">
        <v>95</v>
      </c>
      <c r="K645" t="s">
        <v>20</v>
      </c>
      <c r="L645" t="s">
        <v>1842</v>
      </c>
      <c r="M645" s="3" t="str">
        <f>HYPERLINK("..\..\Imagery\ScannedPhotos\1980\CG80-143.jpg")</f>
        <v>..\..\Imagery\ScannedPhotos\1980\CG80-143.jpg</v>
      </c>
    </row>
    <row r="646" spans="1:13" x14ac:dyDescent="0.25">
      <c r="A646" t="s">
        <v>1843</v>
      </c>
      <c r="B646">
        <v>535813</v>
      </c>
      <c r="C646">
        <v>5834342</v>
      </c>
      <c r="D646">
        <v>21</v>
      </c>
      <c r="E646" t="s">
        <v>15</v>
      </c>
      <c r="F646" t="s">
        <v>1844</v>
      </c>
      <c r="G646">
        <v>4</v>
      </c>
      <c r="K646" t="s">
        <v>56</v>
      </c>
      <c r="L646" t="s">
        <v>1845</v>
      </c>
      <c r="M646" s="3" t="str">
        <f>HYPERLINK("..\..\Imagery\ScannedPhotos\2004\CG04-054.4.jpg")</f>
        <v>..\..\Imagery\ScannedPhotos\2004\CG04-054.4.jpg</v>
      </c>
    </row>
    <row r="647" spans="1:13" x14ac:dyDescent="0.25">
      <c r="A647" t="s">
        <v>1846</v>
      </c>
      <c r="B647">
        <v>534977</v>
      </c>
      <c r="C647">
        <v>5833462</v>
      </c>
      <c r="D647">
        <v>21</v>
      </c>
      <c r="E647" t="s">
        <v>15</v>
      </c>
      <c r="F647" t="s">
        <v>1847</v>
      </c>
      <c r="G647">
        <v>3</v>
      </c>
      <c r="K647" t="s">
        <v>20</v>
      </c>
      <c r="L647" t="s">
        <v>1848</v>
      </c>
      <c r="M647" s="3" t="str">
        <f>HYPERLINK("..\..\Imagery\ScannedPhotos\2004\CG04-060.1.jpg")</f>
        <v>..\..\Imagery\ScannedPhotos\2004\CG04-060.1.jpg</v>
      </c>
    </row>
    <row r="648" spans="1:13" x14ac:dyDescent="0.25">
      <c r="A648" t="s">
        <v>1849</v>
      </c>
      <c r="B648">
        <v>573168</v>
      </c>
      <c r="C648">
        <v>5872200</v>
      </c>
      <c r="D648">
        <v>21</v>
      </c>
      <c r="E648" t="s">
        <v>15</v>
      </c>
      <c r="F648" t="s">
        <v>1850</v>
      </c>
      <c r="G648">
        <v>1</v>
      </c>
      <c r="H648" t="s">
        <v>1851</v>
      </c>
      <c r="I648" t="s">
        <v>209</v>
      </c>
      <c r="J648" t="s">
        <v>1852</v>
      </c>
      <c r="K648" t="s">
        <v>20</v>
      </c>
      <c r="L648" t="s">
        <v>1853</v>
      </c>
      <c r="M648" s="3" t="str">
        <f>HYPERLINK("..\..\Imagery\ScannedPhotos\1986\MN86-307.jpg")</f>
        <v>..\..\Imagery\ScannedPhotos\1986\MN86-307.jpg</v>
      </c>
    </row>
    <row r="649" spans="1:13" x14ac:dyDescent="0.25">
      <c r="A649" t="s">
        <v>1854</v>
      </c>
      <c r="B649">
        <v>328058</v>
      </c>
      <c r="C649">
        <v>6005701</v>
      </c>
      <c r="D649">
        <v>21</v>
      </c>
      <c r="E649" t="s">
        <v>15</v>
      </c>
      <c r="F649" t="s">
        <v>1855</v>
      </c>
      <c r="G649">
        <v>6</v>
      </c>
      <c r="H649" t="s">
        <v>268</v>
      </c>
      <c r="I649" t="s">
        <v>79</v>
      </c>
      <c r="J649" t="s">
        <v>269</v>
      </c>
      <c r="K649" t="s">
        <v>20</v>
      </c>
      <c r="L649" t="s">
        <v>1856</v>
      </c>
      <c r="M649" s="3" t="str">
        <f>HYPERLINK("..\..\Imagery\ScannedPhotos\1983\CG83-345.3.jpg")</f>
        <v>..\..\Imagery\ScannedPhotos\1983\CG83-345.3.jpg</v>
      </c>
    </row>
    <row r="650" spans="1:13" x14ac:dyDescent="0.25">
      <c r="A650" t="s">
        <v>1857</v>
      </c>
      <c r="B650">
        <v>580357</v>
      </c>
      <c r="C650">
        <v>5900486</v>
      </c>
      <c r="D650">
        <v>21</v>
      </c>
      <c r="E650" t="s">
        <v>15</v>
      </c>
      <c r="F650" t="s">
        <v>1858</v>
      </c>
      <c r="G650">
        <v>3</v>
      </c>
      <c r="H650" t="s">
        <v>136</v>
      </c>
      <c r="I650" t="s">
        <v>360</v>
      </c>
      <c r="J650" t="s">
        <v>138</v>
      </c>
      <c r="K650" t="s">
        <v>20</v>
      </c>
      <c r="L650" t="s">
        <v>1859</v>
      </c>
      <c r="M650" s="3" t="str">
        <f>HYPERLINK("..\..\Imagery\ScannedPhotos\1985\GM85-547.3.jpg")</f>
        <v>..\..\Imagery\ScannedPhotos\1985\GM85-547.3.jpg</v>
      </c>
    </row>
    <row r="651" spans="1:13" x14ac:dyDescent="0.25">
      <c r="A651" t="s">
        <v>1860</v>
      </c>
      <c r="B651">
        <v>447501</v>
      </c>
      <c r="C651">
        <v>6025387</v>
      </c>
      <c r="D651">
        <v>21</v>
      </c>
      <c r="E651" t="s">
        <v>15</v>
      </c>
      <c r="F651" t="s">
        <v>1861</v>
      </c>
      <c r="G651">
        <v>2</v>
      </c>
      <c r="H651" t="s">
        <v>1862</v>
      </c>
      <c r="I651" t="s">
        <v>360</v>
      </c>
      <c r="J651" t="s">
        <v>1863</v>
      </c>
      <c r="K651" t="s">
        <v>20</v>
      </c>
      <c r="L651" t="s">
        <v>1864</v>
      </c>
      <c r="M651" s="3" t="str">
        <f>HYPERLINK("..\..\Imagery\ScannedPhotos\1979\CG79-796.2.jpg")</f>
        <v>..\..\Imagery\ScannedPhotos\1979\CG79-796.2.jpg</v>
      </c>
    </row>
    <row r="652" spans="1:13" x14ac:dyDescent="0.25">
      <c r="A652" t="s">
        <v>1004</v>
      </c>
      <c r="B652">
        <v>430801</v>
      </c>
      <c r="C652">
        <v>6010018</v>
      </c>
      <c r="D652">
        <v>21</v>
      </c>
      <c r="E652" t="s">
        <v>15</v>
      </c>
      <c r="F652" t="s">
        <v>1865</v>
      </c>
      <c r="G652">
        <v>5</v>
      </c>
      <c r="H652" t="s">
        <v>1006</v>
      </c>
      <c r="I652" t="s">
        <v>217</v>
      </c>
      <c r="J652" t="s">
        <v>652</v>
      </c>
      <c r="K652" t="s">
        <v>109</v>
      </c>
      <c r="L652" t="s">
        <v>1866</v>
      </c>
      <c r="M652" s="3" t="str">
        <f>HYPERLINK("..\..\Imagery\ScannedPhotos\1980\CG80-054.5.jpg")</f>
        <v>..\..\Imagery\ScannedPhotos\1980\CG80-054.5.jpg</v>
      </c>
    </row>
    <row r="653" spans="1:13" x14ac:dyDescent="0.25">
      <c r="A653" t="s">
        <v>1867</v>
      </c>
      <c r="B653">
        <v>501450</v>
      </c>
      <c r="C653">
        <v>5899250</v>
      </c>
      <c r="D653">
        <v>21</v>
      </c>
      <c r="E653" t="s">
        <v>15</v>
      </c>
      <c r="F653" t="s">
        <v>1868</v>
      </c>
      <c r="G653">
        <v>5</v>
      </c>
      <c r="H653" t="s">
        <v>1604</v>
      </c>
      <c r="I653" t="s">
        <v>85</v>
      </c>
      <c r="J653" t="s">
        <v>1605</v>
      </c>
      <c r="K653" t="s">
        <v>20</v>
      </c>
      <c r="L653" t="s">
        <v>1869</v>
      </c>
      <c r="M653" s="3" t="str">
        <f>HYPERLINK("..\..\Imagery\ScannedPhotos\1985\CG85-310.2.jpg")</f>
        <v>..\..\Imagery\ScannedPhotos\1985\CG85-310.2.jpg</v>
      </c>
    </row>
    <row r="654" spans="1:13" x14ac:dyDescent="0.25">
      <c r="A654" t="s">
        <v>1870</v>
      </c>
      <c r="B654">
        <v>398255</v>
      </c>
      <c r="C654">
        <v>6073296</v>
      </c>
      <c r="D654">
        <v>21</v>
      </c>
      <c r="E654" t="s">
        <v>15</v>
      </c>
      <c r="F654" t="s">
        <v>1871</v>
      </c>
      <c r="G654">
        <v>8</v>
      </c>
      <c r="H654" t="s">
        <v>1872</v>
      </c>
      <c r="I654" t="s">
        <v>30</v>
      </c>
      <c r="J654" t="s">
        <v>1873</v>
      </c>
      <c r="K654" t="s">
        <v>20</v>
      </c>
      <c r="L654" t="s">
        <v>1874</v>
      </c>
      <c r="M654" s="3" t="str">
        <f>HYPERLINK("..\..\Imagery\ScannedPhotos\1979\CG79-018.4.jpg")</f>
        <v>..\..\Imagery\ScannedPhotos\1979\CG79-018.4.jpg</v>
      </c>
    </row>
    <row r="655" spans="1:13" x14ac:dyDescent="0.25">
      <c r="A655" t="s">
        <v>1870</v>
      </c>
      <c r="B655">
        <v>398255</v>
      </c>
      <c r="C655">
        <v>6073296</v>
      </c>
      <c r="D655">
        <v>21</v>
      </c>
      <c r="E655" t="s">
        <v>15</v>
      </c>
      <c r="F655" t="s">
        <v>1875</v>
      </c>
      <c r="G655">
        <v>8</v>
      </c>
      <c r="H655" t="s">
        <v>1872</v>
      </c>
      <c r="I655" t="s">
        <v>647</v>
      </c>
      <c r="J655" t="s">
        <v>1873</v>
      </c>
      <c r="K655" t="s">
        <v>20</v>
      </c>
      <c r="L655" t="s">
        <v>1876</v>
      </c>
      <c r="M655" s="3" t="str">
        <f>HYPERLINK("..\..\Imagery\ScannedPhotos\1979\CG79-018.3.jpg")</f>
        <v>..\..\Imagery\ScannedPhotos\1979\CG79-018.3.jpg</v>
      </c>
    </row>
    <row r="656" spans="1:13" x14ac:dyDescent="0.25">
      <c r="A656" t="s">
        <v>1877</v>
      </c>
      <c r="B656">
        <v>422236</v>
      </c>
      <c r="C656">
        <v>6081732</v>
      </c>
      <c r="D656">
        <v>21</v>
      </c>
      <c r="E656" t="s">
        <v>15</v>
      </c>
      <c r="F656" t="s">
        <v>1878</v>
      </c>
      <c r="G656">
        <v>4</v>
      </c>
      <c r="H656" t="s">
        <v>1207</v>
      </c>
      <c r="I656" t="s">
        <v>401</v>
      </c>
      <c r="J656" t="s">
        <v>1208</v>
      </c>
      <c r="K656" t="s">
        <v>20</v>
      </c>
      <c r="L656" t="s">
        <v>1879</v>
      </c>
      <c r="M656" s="3" t="str">
        <f>HYPERLINK("..\..\Imagery\ScannedPhotos\1979\CG79-119.4.jpg")</f>
        <v>..\..\Imagery\ScannedPhotos\1979\CG79-119.4.jpg</v>
      </c>
    </row>
    <row r="657" spans="1:13" x14ac:dyDescent="0.25">
      <c r="A657" t="s">
        <v>1877</v>
      </c>
      <c r="B657">
        <v>422236</v>
      </c>
      <c r="C657">
        <v>6081732</v>
      </c>
      <c r="D657">
        <v>21</v>
      </c>
      <c r="E657" t="s">
        <v>15</v>
      </c>
      <c r="F657" t="s">
        <v>1880</v>
      </c>
      <c r="G657">
        <v>4</v>
      </c>
      <c r="H657" t="s">
        <v>1207</v>
      </c>
      <c r="I657" t="s">
        <v>52</v>
      </c>
      <c r="J657" t="s">
        <v>1208</v>
      </c>
      <c r="K657" t="s">
        <v>20</v>
      </c>
      <c r="L657" t="s">
        <v>1881</v>
      </c>
      <c r="M657" s="3" t="str">
        <f>HYPERLINK("..\..\Imagery\ScannedPhotos\1979\CG79-119.2.jpg")</f>
        <v>..\..\Imagery\ScannedPhotos\1979\CG79-119.2.jpg</v>
      </c>
    </row>
    <row r="658" spans="1:13" x14ac:dyDescent="0.25">
      <c r="A658" t="s">
        <v>1882</v>
      </c>
      <c r="B658">
        <v>449120</v>
      </c>
      <c r="C658">
        <v>5770000</v>
      </c>
      <c r="D658">
        <v>21</v>
      </c>
      <c r="E658" t="s">
        <v>15</v>
      </c>
      <c r="F658" t="s">
        <v>1883</v>
      </c>
      <c r="G658">
        <v>2</v>
      </c>
      <c r="H658" t="s">
        <v>904</v>
      </c>
      <c r="I658" t="s">
        <v>52</v>
      </c>
      <c r="J658" t="s">
        <v>905</v>
      </c>
      <c r="K658" t="s">
        <v>20</v>
      </c>
      <c r="L658" t="s">
        <v>1884</v>
      </c>
      <c r="M658" s="3" t="str">
        <f>HYPERLINK("..\..\Imagery\ScannedPhotos\1992\VN92-238.1.jpg")</f>
        <v>..\..\Imagery\ScannedPhotos\1992\VN92-238.1.jpg</v>
      </c>
    </row>
    <row r="659" spans="1:13" x14ac:dyDescent="0.25">
      <c r="A659" t="s">
        <v>1885</v>
      </c>
      <c r="B659">
        <v>578631</v>
      </c>
      <c r="C659">
        <v>5826669</v>
      </c>
      <c r="D659">
        <v>21</v>
      </c>
      <c r="E659" t="s">
        <v>15</v>
      </c>
      <c r="F659" t="s">
        <v>1886</v>
      </c>
      <c r="G659">
        <v>2</v>
      </c>
      <c r="H659" t="s">
        <v>17</v>
      </c>
      <c r="I659" t="s">
        <v>401</v>
      </c>
      <c r="J659" t="s">
        <v>19</v>
      </c>
      <c r="K659" t="s">
        <v>20</v>
      </c>
      <c r="L659" t="s">
        <v>1887</v>
      </c>
      <c r="M659" s="3" t="str">
        <f>HYPERLINK("..\..\Imagery\ScannedPhotos\1986\CG86-693.2.jpg")</f>
        <v>..\..\Imagery\ScannedPhotos\1986\CG86-693.2.jpg</v>
      </c>
    </row>
    <row r="660" spans="1:13" x14ac:dyDescent="0.25">
      <c r="A660" t="s">
        <v>1680</v>
      </c>
      <c r="B660">
        <v>416650</v>
      </c>
      <c r="C660">
        <v>5875024</v>
      </c>
      <c r="D660">
        <v>21</v>
      </c>
      <c r="E660" t="s">
        <v>15</v>
      </c>
      <c r="F660" t="s">
        <v>1888</v>
      </c>
      <c r="G660">
        <v>10</v>
      </c>
      <c r="H660" t="s">
        <v>556</v>
      </c>
      <c r="I660" t="s">
        <v>18</v>
      </c>
      <c r="J660" t="s">
        <v>557</v>
      </c>
      <c r="K660" t="s">
        <v>20</v>
      </c>
      <c r="L660" t="s">
        <v>1889</v>
      </c>
      <c r="M660" s="3" t="str">
        <f>HYPERLINK("..\..\Imagery\ScannedPhotos\1995\CG95-341.5.jpg")</f>
        <v>..\..\Imagery\ScannedPhotos\1995\CG95-341.5.jpg</v>
      </c>
    </row>
    <row r="661" spans="1:13" x14ac:dyDescent="0.25">
      <c r="A661" t="s">
        <v>1890</v>
      </c>
      <c r="B661">
        <v>471552</v>
      </c>
      <c r="C661">
        <v>6037904</v>
      </c>
      <c r="D661">
        <v>21</v>
      </c>
      <c r="E661" t="s">
        <v>15</v>
      </c>
      <c r="F661" t="s">
        <v>1891</v>
      </c>
      <c r="G661">
        <v>1</v>
      </c>
      <c r="H661" t="s">
        <v>682</v>
      </c>
      <c r="I661" t="s">
        <v>281</v>
      </c>
      <c r="J661" t="s">
        <v>683</v>
      </c>
      <c r="K661" t="s">
        <v>20</v>
      </c>
      <c r="L661" t="s">
        <v>1892</v>
      </c>
      <c r="M661" s="3" t="str">
        <f>HYPERLINK("..\..\Imagery\ScannedPhotos\1979\AD79-234.jpg")</f>
        <v>..\..\Imagery\ScannedPhotos\1979\AD79-234.jpg</v>
      </c>
    </row>
    <row r="662" spans="1:13" x14ac:dyDescent="0.25">
      <c r="A662" t="s">
        <v>1893</v>
      </c>
      <c r="B662">
        <v>470542</v>
      </c>
      <c r="C662">
        <v>6037806</v>
      </c>
      <c r="D662">
        <v>21</v>
      </c>
      <c r="E662" t="s">
        <v>15</v>
      </c>
      <c r="F662" t="s">
        <v>1894</v>
      </c>
      <c r="G662">
        <v>1</v>
      </c>
      <c r="H662" t="s">
        <v>682</v>
      </c>
      <c r="I662" t="s">
        <v>18</v>
      </c>
      <c r="J662" t="s">
        <v>683</v>
      </c>
      <c r="K662" t="s">
        <v>20</v>
      </c>
      <c r="L662" t="s">
        <v>1895</v>
      </c>
      <c r="M662" s="3" t="str">
        <f>HYPERLINK("..\..\Imagery\ScannedPhotos\1979\AD79-235.jpg")</f>
        <v>..\..\Imagery\ScannedPhotos\1979\AD79-235.jpg</v>
      </c>
    </row>
    <row r="663" spans="1:13" x14ac:dyDescent="0.25">
      <c r="A663" t="s">
        <v>1896</v>
      </c>
      <c r="B663">
        <v>419465</v>
      </c>
      <c r="C663">
        <v>6057323</v>
      </c>
      <c r="D663">
        <v>21</v>
      </c>
      <c r="E663" t="s">
        <v>15</v>
      </c>
      <c r="F663" t="s">
        <v>1897</v>
      </c>
      <c r="G663">
        <v>2</v>
      </c>
      <c r="H663" t="s">
        <v>682</v>
      </c>
      <c r="I663" t="s">
        <v>114</v>
      </c>
      <c r="J663" t="s">
        <v>683</v>
      </c>
      <c r="K663" t="s">
        <v>20</v>
      </c>
      <c r="L663" t="s">
        <v>1898</v>
      </c>
      <c r="M663" s="3" t="str">
        <f>HYPERLINK("..\..\Imagery\ScannedPhotos\1979\AD79-261.2.jpg")</f>
        <v>..\..\Imagery\ScannedPhotos\1979\AD79-261.2.jpg</v>
      </c>
    </row>
    <row r="664" spans="1:13" x14ac:dyDescent="0.25">
      <c r="A664" t="s">
        <v>1899</v>
      </c>
      <c r="B664">
        <v>475510</v>
      </c>
      <c r="C664">
        <v>5789281</v>
      </c>
      <c r="D664">
        <v>21</v>
      </c>
      <c r="E664" t="s">
        <v>15</v>
      </c>
      <c r="F664" t="s">
        <v>1900</v>
      </c>
      <c r="G664">
        <v>1</v>
      </c>
      <c r="H664" t="s">
        <v>1163</v>
      </c>
      <c r="I664" t="s">
        <v>85</v>
      </c>
      <c r="J664" t="s">
        <v>814</v>
      </c>
      <c r="K664" t="s">
        <v>56</v>
      </c>
      <c r="L664" t="s">
        <v>1901</v>
      </c>
      <c r="M664" s="3" t="str">
        <f>HYPERLINK("..\..\Imagery\ScannedPhotos\1992\VN92-134.jpg")</f>
        <v>..\..\Imagery\ScannedPhotos\1992\VN92-134.jpg</v>
      </c>
    </row>
    <row r="665" spans="1:13" x14ac:dyDescent="0.25">
      <c r="A665" t="s">
        <v>1902</v>
      </c>
      <c r="B665">
        <v>475525</v>
      </c>
      <c r="C665">
        <v>5788994</v>
      </c>
      <c r="D665">
        <v>21</v>
      </c>
      <c r="E665" t="s">
        <v>15</v>
      </c>
      <c r="F665" t="s">
        <v>1903</v>
      </c>
      <c r="G665">
        <v>2</v>
      </c>
      <c r="H665" t="s">
        <v>1163</v>
      </c>
      <c r="I665" t="s">
        <v>375</v>
      </c>
      <c r="J665" t="s">
        <v>814</v>
      </c>
      <c r="K665" t="s">
        <v>56</v>
      </c>
      <c r="L665" t="s">
        <v>1904</v>
      </c>
      <c r="M665" s="3" t="str">
        <f>HYPERLINK("..\..\Imagery\ScannedPhotos\1992\VN92-135.1.jpg")</f>
        <v>..\..\Imagery\ScannedPhotos\1992\VN92-135.1.jpg</v>
      </c>
    </row>
    <row r="666" spans="1:13" x14ac:dyDescent="0.25">
      <c r="A666" t="s">
        <v>1902</v>
      </c>
      <c r="B666">
        <v>475525</v>
      </c>
      <c r="C666">
        <v>5788994</v>
      </c>
      <c r="D666">
        <v>21</v>
      </c>
      <c r="E666" t="s">
        <v>15</v>
      </c>
      <c r="F666" t="s">
        <v>1905</v>
      </c>
      <c r="G666">
        <v>2</v>
      </c>
      <c r="H666" t="s">
        <v>1163</v>
      </c>
      <c r="I666" t="s">
        <v>94</v>
      </c>
      <c r="J666" t="s">
        <v>814</v>
      </c>
      <c r="K666" t="s">
        <v>56</v>
      </c>
      <c r="L666" t="s">
        <v>1906</v>
      </c>
      <c r="M666" s="3" t="str">
        <f>HYPERLINK("..\..\Imagery\ScannedPhotos\1992\VN92-135.2.jpg")</f>
        <v>..\..\Imagery\ScannedPhotos\1992\VN92-135.2.jpg</v>
      </c>
    </row>
    <row r="667" spans="1:13" x14ac:dyDescent="0.25">
      <c r="A667" t="s">
        <v>1151</v>
      </c>
      <c r="B667">
        <v>415292</v>
      </c>
      <c r="C667">
        <v>6006631</v>
      </c>
      <c r="D667">
        <v>21</v>
      </c>
      <c r="E667" t="s">
        <v>15</v>
      </c>
      <c r="F667" t="s">
        <v>1907</v>
      </c>
      <c r="G667">
        <v>4</v>
      </c>
      <c r="H667" t="s">
        <v>900</v>
      </c>
      <c r="I667" t="s">
        <v>94</v>
      </c>
      <c r="J667" t="s">
        <v>652</v>
      </c>
      <c r="K667" t="s">
        <v>20</v>
      </c>
      <c r="L667" t="s">
        <v>1908</v>
      </c>
      <c r="M667" s="3" t="str">
        <f>HYPERLINK("..\..\Imagery\ScannedPhotos\1980\RG80-015.1.jpg")</f>
        <v>..\..\Imagery\ScannedPhotos\1980\RG80-015.1.jpg</v>
      </c>
    </row>
    <row r="668" spans="1:13" x14ac:dyDescent="0.25">
      <c r="A668" t="s">
        <v>1151</v>
      </c>
      <c r="B668">
        <v>415292</v>
      </c>
      <c r="C668">
        <v>6006631</v>
      </c>
      <c r="D668">
        <v>21</v>
      </c>
      <c r="E668" t="s">
        <v>15</v>
      </c>
      <c r="F668" t="s">
        <v>1909</v>
      </c>
      <c r="G668">
        <v>4</v>
      </c>
      <c r="H668" t="s">
        <v>900</v>
      </c>
      <c r="I668" t="s">
        <v>209</v>
      </c>
      <c r="J668" t="s">
        <v>652</v>
      </c>
      <c r="K668" t="s">
        <v>20</v>
      </c>
      <c r="L668" t="s">
        <v>1910</v>
      </c>
      <c r="M668" s="3" t="str">
        <f>HYPERLINK("..\..\Imagery\ScannedPhotos\1980\RG80-015.2.jpg")</f>
        <v>..\..\Imagery\ScannedPhotos\1980\RG80-015.2.jpg</v>
      </c>
    </row>
    <row r="669" spans="1:13" x14ac:dyDescent="0.25">
      <c r="A669" t="s">
        <v>1911</v>
      </c>
      <c r="B669">
        <v>413177</v>
      </c>
      <c r="C669">
        <v>5871511</v>
      </c>
      <c r="D669">
        <v>21</v>
      </c>
      <c r="E669" t="s">
        <v>15</v>
      </c>
      <c r="F669" t="s">
        <v>1912</v>
      </c>
      <c r="G669">
        <v>7</v>
      </c>
      <c r="H669" t="s">
        <v>1913</v>
      </c>
      <c r="I669" t="s">
        <v>222</v>
      </c>
      <c r="J669" t="s">
        <v>771</v>
      </c>
      <c r="K669" t="s">
        <v>535</v>
      </c>
      <c r="L669" t="s">
        <v>1914</v>
      </c>
      <c r="M669" s="3" t="str">
        <f>HYPERLINK("..\..\Imagery\ScannedPhotos\1997\CG97-066.6.jpg")</f>
        <v>..\..\Imagery\ScannedPhotos\1997\CG97-066.6.jpg</v>
      </c>
    </row>
    <row r="670" spans="1:13" x14ac:dyDescent="0.25">
      <c r="A670" t="s">
        <v>1911</v>
      </c>
      <c r="B670">
        <v>413177</v>
      </c>
      <c r="C670">
        <v>5871511</v>
      </c>
      <c r="D670">
        <v>21</v>
      </c>
      <c r="E670" t="s">
        <v>15</v>
      </c>
      <c r="F670" t="s">
        <v>1915</v>
      </c>
      <c r="G670">
        <v>7</v>
      </c>
      <c r="H670" t="s">
        <v>1913</v>
      </c>
      <c r="I670" t="s">
        <v>209</v>
      </c>
      <c r="J670" t="s">
        <v>771</v>
      </c>
      <c r="K670" t="s">
        <v>228</v>
      </c>
      <c r="L670" t="s">
        <v>1916</v>
      </c>
      <c r="M670" s="3" t="str">
        <f>HYPERLINK("..\..\Imagery\ScannedPhotos\1997\CG97-066.2.jpg")</f>
        <v>..\..\Imagery\ScannedPhotos\1997\CG97-066.2.jpg</v>
      </c>
    </row>
    <row r="671" spans="1:13" x14ac:dyDescent="0.25">
      <c r="A671" t="s">
        <v>1917</v>
      </c>
      <c r="B671">
        <v>412712</v>
      </c>
      <c r="C671">
        <v>5867273</v>
      </c>
      <c r="D671">
        <v>21</v>
      </c>
      <c r="E671" t="s">
        <v>15</v>
      </c>
      <c r="F671" t="s">
        <v>1918</v>
      </c>
      <c r="G671">
        <v>1</v>
      </c>
      <c r="H671" t="s">
        <v>1919</v>
      </c>
      <c r="I671" t="s">
        <v>222</v>
      </c>
      <c r="J671" t="s">
        <v>771</v>
      </c>
      <c r="K671" t="s">
        <v>56</v>
      </c>
      <c r="L671" t="s">
        <v>1920</v>
      </c>
      <c r="M671" s="3" t="str">
        <f>HYPERLINK("..\..\Imagery\ScannedPhotos\1997\CG97-067.jpg")</f>
        <v>..\..\Imagery\ScannedPhotos\1997\CG97-067.jpg</v>
      </c>
    </row>
    <row r="672" spans="1:13" x14ac:dyDescent="0.25">
      <c r="A672" t="s">
        <v>1921</v>
      </c>
      <c r="B672">
        <v>384539</v>
      </c>
      <c r="C672">
        <v>5861447</v>
      </c>
      <c r="D672">
        <v>21</v>
      </c>
      <c r="E672" t="s">
        <v>15</v>
      </c>
      <c r="F672" t="s">
        <v>1922</v>
      </c>
      <c r="G672">
        <v>2</v>
      </c>
      <c r="H672" t="s">
        <v>1919</v>
      </c>
      <c r="I672" t="s">
        <v>418</v>
      </c>
      <c r="J672" t="s">
        <v>771</v>
      </c>
      <c r="K672" t="s">
        <v>535</v>
      </c>
      <c r="L672" t="s">
        <v>1923</v>
      </c>
      <c r="M672" s="3" t="str">
        <f>HYPERLINK("..\..\Imagery\ScannedPhotos\1997\CG97-068.1.jpg")</f>
        <v>..\..\Imagery\ScannedPhotos\1997\CG97-068.1.jpg</v>
      </c>
    </row>
    <row r="673" spans="1:13" x14ac:dyDescent="0.25">
      <c r="A673" t="s">
        <v>1924</v>
      </c>
      <c r="B673">
        <v>542606</v>
      </c>
      <c r="C673">
        <v>5838192</v>
      </c>
      <c r="D673">
        <v>21</v>
      </c>
      <c r="E673" t="s">
        <v>15</v>
      </c>
      <c r="F673" t="s">
        <v>1925</v>
      </c>
      <c r="G673">
        <v>1</v>
      </c>
      <c r="K673" t="s">
        <v>56</v>
      </c>
      <c r="L673" t="s">
        <v>1926</v>
      </c>
      <c r="M673" s="3" t="str">
        <f>HYPERLINK("..\..\Imagery\ScannedPhotos\2004\CG04-046.jpg")</f>
        <v>..\..\Imagery\ScannedPhotos\2004\CG04-046.jpg</v>
      </c>
    </row>
    <row r="674" spans="1:13" x14ac:dyDescent="0.25">
      <c r="A674" t="s">
        <v>1927</v>
      </c>
      <c r="B674">
        <v>541250</v>
      </c>
      <c r="C674">
        <v>5837360</v>
      </c>
      <c r="D674">
        <v>21</v>
      </c>
      <c r="E674" t="s">
        <v>15</v>
      </c>
      <c r="F674" t="s">
        <v>1928</v>
      </c>
      <c r="G674">
        <v>1</v>
      </c>
      <c r="K674" t="s">
        <v>20</v>
      </c>
      <c r="L674" t="s">
        <v>1929</v>
      </c>
      <c r="M674" s="3" t="str">
        <f>HYPERLINK("..\..\Imagery\ScannedPhotos\2004\CG04-050.jpg")</f>
        <v>..\..\Imagery\ScannedPhotos\2004\CG04-050.jpg</v>
      </c>
    </row>
    <row r="675" spans="1:13" x14ac:dyDescent="0.25">
      <c r="A675" t="s">
        <v>1843</v>
      </c>
      <c r="B675">
        <v>535813</v>
      </c>
      <c r="C675">
        <v>5834342</v>
      </c>
      <c r="D675">
        <v>21</v>
      </c>
      <c r="E675" t="s">
        <v>15</v>
      </c>
      <c r="F675" t="s">
        <v>1930</v>
      </c>
      <c r="G675">
        <v>4</v>
      </c>
      <c r="K675" t="s">
        <v>56</v>
      </c>
      <c r="L675" t="s">
        <v>915</v>
      </c>
      <c r="M675" s="3" t="str">
        <f>HYPERLINK("..\..\Imagery\ScannedPhotos\2004\CG04-054.1.jpg")</f>
        <v>..\..\Imagery\ScannedPhotos\2004\CG04-054.1.jpg</v>
      </c>
    </row>
    <row r="676" spans="1:13" x14ac:dyDescent="0.25">
      <c r="A676" t="s">
        <v>1843</v>
      </c>
      <c r="B676">
        <v>535813</v>
      </c>
      <c r="C676">
        <v>5834342</v>
      </c>
      <c r="D676">
        <v>21</v>
      </c>
      <c r="E676" t="s">
        <v>15</v>
      </c>
      <c r="F676" t="s">
        <v>1931</v>
      </c>
      <c r="G676">
        <v>4</v>
      </c>
      <c r="K676" t="s">
        <v>20</v>
      </c>
      <c r="L676" t="s">
        <v>1932</v>
      </c>
      <c r="M676" s="3" t="str">
        <f>HYPERLINK("..\..\Imagery\ScannedPhotos\2004\CG04-054.2.jpg")</f>
        <v>..\..\Imagery\ScannedPhotos\2004\CG04-054.2.jpg</v>
      </c>
    </row>
    <row r="677" spans="1:13" x14ac:dyDescent="0.25">
      <c r="A677" t="s">
        <v>1933</v>
      </c>
      <c r="B677">
        <v>579280</v>
      </c>
      <c r="C677">
        <v>5884728</v>
      </c>
      <c r="D677">
        <v>21</v>
      </c>
      <c r="E677" t="s">
        <v>15</v>
      </c>
      <c r="F677" t="s">
        <v>1934</v>
      </c>
      <c r="G677">
        <v>3</v>
      </c>
      <c r="H677" t="s">
        <v>1373</v>
      </c>
      <c r="I677" t="s">
        <v>281</v>
      </c>
      <c r="J677" t="s">
        <v>1374</v>
      </c>
      <c r="K677" t="s">
        <v>20</v>
      </c>
      <c r="L677" t="s">
        <v>1935</v>
      </c>
      <c r="M677" s="3" t="str">
        <f>HYPERLINK("..\..\Imagery\ScannedPhotos\1985\CG85-483.1.jpg")</f>
        <v>..\..\Imagery\ScannedPhotos\1985\CG85-483.1.jpg</v>
      </c>
    </row>
    <row r="678" spans="1:13" x14ac:dyDescent="0.25">
      <c r="A678" t="s">
        <v>1933</v>
      </c>
      <c r="B678">
        <v>579280</v>
      </c>
      <c r="C678">
        <v>5884728</v>
      </c>
      <c r="D678">
        <v>21</v>
      </c>
      <c r="E678" t="s">
        <v>15</v>
      </c>
      <c r="F678" t="s">
        <v>1936</v>
      </c>
      <c r="G678">
        <v>3</v>
      </c>
      <c r="H678" t="s">
        <v>1373</v>
      </c>
      <c r="I678" t="s">
        <v>18</v>
      </c>
      <c r="J678" t="s">
        <v>1374</v>
      </c>
      <c r="K678" t="s">
        <v>20</v>
      </c>
      <c r="L678" t="s">
        <v>1937</v>
      </c>
      <c r="M678" s="3" t="str">
        <f>HYPERLINK("..\..\Imagery\ScannedPhotos\1985\CG85-483.3.jpg")</f>
        <v>..\..\Imagery\ScannedPhotos\1985\CG85-483.3.jpg</v>
      </c>
    </row>
    <row r="679" spans="1:13" x14ac:dyDescent="0.25">
      <c r="A679" t="s">
        <v>1938</v>
      </c>
      <c r="B679">
        <v>524038</v>
      </c>
      <c r="C679">
        <v>5871582</v>
      </c>
      <c r="D679">
        <v>21</v>
      </c>
      <c r="E679" t="s">
        <v>15</v>
      </c>
      <c r="F679" t="s">
        <v>1939</v>
      </c>
      <c r="G679">
        <v>1</v>
      </c>
      <c r="H679" t="s">
        <v>656</v>
      </c>
      <c r="I679" t="s">
        <v>214</v>
      </c>
      <c r="J679" t="s">
        <v>657</v>
      </c>
      <c r="K679" t="s">
        <v>20</v>
      </c>
      <c r="L679" t="s">
        <v>1940</v>
      </c>
      <c r="M679" s="3" t="str">
        <f>HYPERLINK("..\..\Imagery\ScannedPhotos\1986\CG86-095.jpg")</f>
        <v>..\..\Imagery\ScannedPhotos\1986\CG86-095.jpg</v>
      </c>
    </row>
    <row r="680" spans="1:13" x14ac:dyDescent="0.25">
      <c r="A680" t="s">
        <v>1941</v>
      </c>
      <c r="B680">
        <v>523971</v>
      </c>
      <c r="C680">
        <v>5869486</v>
      </c>
      <c r="D680">
        <v>21</v>
      </c>
      <c r="E680" t="s">
        <v>15</v>
      </c>
      <c r="F680" t="s">
        <v>1942</v>
      </c>
      <c r="G680">
        <v>3</v>
      </c>
      <c r="H680" t="s">
        <v>656</v>
      </c>
      <c r="I680" t="s">
        <v>222</v>
      </c>
      <c r="J680" t="s">
        <v>657</v>
      </c>
      <c r="K680" t="s">
        <v>20</v>
      </c>
      <c r="L680" t="s">
        <v>1943</v>
      </c>
      <c r="M680" s="3" t="str">
        <f>HYPERLINK("..\..\Imagery\ScannedPhotos\1986\CG86-097.1.jpg")</f>
        <v>..\..\Imagery\ScannedPhotos\1986\CG86-097.1.jpg</v>
      </c>
    </row>
    <row r="681" spans="1:13" x14ac:dyDescent="0.25">
      <c r="A681" t="s">
        <v>1941</v>
      </c>
      <c r="B681">
        <v>523971</v>
      </c>
      <c r="C681">
        <v>5869486</v>
      </c>
      <c r="D681">
        <v>21</v>
      </c>
      <c r="E681" t="s">
        <v>15</v>
      </c>
      <c r="F681" t="s">
        <v>1944</v>
      </c>
      <c r="G681">
        <v>3</v>
      </c>
      <c r="H681" t="s">
        <v>656</v>
      </c>
      <c r="I681" t="s">
        <v>418</v>
      </c>
      <c r="J681" t="s">
        <v>657</v>
      </c>
      <c r="K681" t="s">
        <v>20</v>
      </c>
      <c r="L681" t="s">
        <v>1943</v>
      </c>
      <c r="M681" s="3" t="str">
        <f>HYPERLINK("..\..\Imagery\ScannedPhotos\1986\CG86-097.2.jpg")</f>
        <v>..\..\Imagery\ScannedPhotos\1986\CG86-097.2.jpg</v>
      </c>
    </row>
    <row r="682" spans="1:13" x14ac:dyDescent="0.25">
      <c r="A682" t="s">
        <v>945</v>
      </c>
      <c r="B682">
        <v>563516</v>
      </c>
      <c r="C682">
        <v>5826157</v>
      </c>
      <c r="D682">
        <v>21</v>
      </c>
      <c r="E682" t="s">
        <v>15</v>
      </c>
      <c r="F682" t="s">
        <v>1945</v>
      </c>
      <c r="G682">
        <v>6</v>
      </c>
      <c r="H682" t="s">
        <v>201</v>
      </c>
      <c r="I682" t="s">
        <v>647</v>
      </c>
      <c r="J682" t="s">
        <v>202</v>
      </c>
      <c r="K682" t="s">
        <v>56</v>
      </c>
      <c r="L682" t="s">
        <v>1946</v>
      </c>
      <c r="M682" s="3" t="str">
        <f>HYPERLINK("..\..\Imagery\ScannedPhotos\1986\CG86-156.4.jpg")</f>
        <v>..\..\Imagery\ScannedPhotos\1986\CG86-156.4.jpg</v>
      </c>
    </row>
    <row r="683" spans="1:13" x14ac:dyDescent="0.25">
      <c r="A683" t="s">
        <v>1947</v>
      </c>
      <c r="B683">
        <v>541015</v>
      </c>
      <c r="C683">
        <v>5735447</v>
      </c>
      <c r="D683">
        <v>21</v>
      </c>
      <c r="E683" t="s">
        <v>15</v>
      </c>
      <c r="F683" t="s">
        <v>1948</v>
      </c>
      <c r="G683">
        <v>1</v>
      </c>
      <c r="H683" t="s">
        <v>885</v>
      </c>
      <c r="I683" t="s">
        <v>137</v>
      </c>
      <c r="J683" t="s">
        <v>886</v>
      </c>
      <c r="K683" t="s">
        <v>20</v>
      </c>
      <c r="L683" t="s">
        <v>1949</v>
      </c>
      <c r="M683" s="3" t="str">
        <f>HYPERLINK("..\..\Imagery\ScannedPhotos\1993\CG93-050.jpg")</f>
        <v>..\..\Imagery\ScannedPhotos\1993\CG93-050.jpg</v>
      </c>
    </row>
    <row r="684" spans="1:13" x14ac:dyDescent="0.25">
      <c r="A684" t="s">
        <v>1870</v>
      </c>
      <c r="B684">
        <v>398255</v>
      </c>
      <c r="C684">
        <v>6073296</v>
      </c>
      <c r="D684">
        <v>21</v>
      </c>
      <c r="E684" t="s">
        <v>15</v>
      </c>
      <c r="F684" t="s">
        <v>1950</v>
      </c>
      <c r="G684">
        <v>8</v>
      </c>
      <c r="H684" t="s">
        <v>1872</v>
      </c>
      <c r="I684" t="s">
        <v>114</v>
      </c>
      <c r="J684" t="s">
        <v>1873</v>
      </c>
      <c r="K684" t="s">
        <v>20</v>
      </c>
      <c r="L684" t="s">
        <v>1951</v>
      </c>
      <c r="M684" s="3" t="str">
        <f>HYPERLINK("..\..\Imagery\ScannedPhotos\1979\CG79-018.5.jpg")</f>
        <v>..\..\Imagery\ScannedPhotos\1979\CG79-018.5.jpg</v>
      </c>
    </row>
    <row r="685" spans="1:13" x14ac:dyDescent="0.25">
      <c r="A685" t="s">
        <v>1952</v>
      </c>
      <c r="B685">
        <v>496711</v>
      </c>
      <c r="C685">
        <v>5944262</v>
      </c>
      <c r="D685">
        <v>21</v>
      </c>
      <c r="E685" t="s">
        <v>15</v>
      </c>
      <c r="F685" t="s">
        <v>1953</v>
      </c>
      <c r="G685">
        <v>2</v>
      </c>
      <c r="H685" t="s">
        <v>142</v>
      </c>
      <c r="I685" t="s">
        <v>122</v>
      </c>
      <c r="J685" t="s">
        <v>144</v>
      </c>
      <c r="K685" t="s">
        <v>20</v>
      </c>
      <c r="L685" t="s">
        <v>1954</v>
      </c>
      <c r="M685" s="3" t="str">
        <f>HYPERLINK("..\..\Imagery\ScannedPhotos\1977\MC77-022.2.jpg")</f>
        <v>..\..\Imagery\ScannedPhotos\1977\MC77-022.2.jpg</v>
      </c>
    </row>
    <row r="686" spans="1:13" x14ac:dyDescent="0.25">
      <c r="A686" t="s">
        <v>1952</v>
      </c>
      <c r="B686">
        <v>496711</v>
      </c>
      <c r="C686">
        <v>5944262</v>
      </c>
      <c r="D686">
        <v>21</v>
      </c>
      <c r="E686" t="s">
        <v>15</v>
      </c>
      <c r="F686" t="s">
        <v>1955</v>
      </c>
      <c r="G686">
        <v>2</v>
      </c>
      <c r="H686" t="s">
        <v>142</v>
      </c>
      <c r="I686" t="s">
        <v>119</v>
      </c>
      <c r="J686" t="s">
        <v>144</v>
      </c>
      <c r="K686" t="s">
        <v>20</v>
      </c>
      <c r="L686" t="s">
        <v>1041</v>
      </c>
      <c r="M686" s="3" t="str">
        <f>HYPERLINK("..\..\Imagery\ScannedPhotos\1977\MC77-022.1.jpg")</f>
        <v>..\..\Imagery\ScannedPhotos\1977\MC77-022.1.jpg</v>
      </c>
    </row>
    <row r="687" spans="1:13" x14ac:dyDescent="0.25">
      <c r="A687" t="s">
        <v>1956</v>
      </c>
      <c r="B687">
        <v>495919</v>
      </c>
      <c r="C687">
        <v>5944732</v>
      </c>
      <c r="D687">
        <v>21</v>
      </c>
      <c r="E687" t="s">
        <v>15</v>
      </c>
      <c r="F687" t="s">
        <v>1957</v>
      </c>
      <c r="G687">
        <v>1</v>
      </c>
      <c r="H687" t="s">
        <v>142</v>
      </c>
      <c r="I687" t="s">
        <v>108</v>
      </c>
      <c r="J687" t="s">
        <v>144</v>
      </c>
      <c r="K687" t="s">
        <v>20</v>
      </c>
      <c r="L687" t="s">
        <v>1958</v>
      </c>
      <c r="M687" s="3" t="str">
        <f>HYPERLINK("..\..\Imagery\ScannedPhotos\1977\MC77-023.jpg")</f>
        <v>..\..\Imagery\ScannedPhotos\1977\MC77-023.jpg</v>
      </c>
    </row>
    <row r="688" spans="1:13" x14ac:dyDescent="0.25">
      <c r="A688" t="s">
        <v>1959</v>
      </c>
      <c r="B688">
        <v>495450</v>
      </c>
      <c r="C688">
        <v>5945116</v>
      </c>
      <c r="D688">
        <v>21</v>
      </c>
      <c r="E688" t="s">
        <v>15</v>
      </c>
      <c r="F688" t="s">
        <v>1960</v>
      </c>
      <c r="G688">
        <v>1</v>
      </c>
      <c r="H688" t="s">
        <v>142</v>
      </c>
      <c r="I688" t="s">
        <v>129</v>
      </c>
      <c r="J688" t="s">
        <v>144</v>
      </c>
      <c r="K688" t="s">
        <v>20</v>
      </c>
      <c r="L688" t="s">
        <v>1961</v>
      </c>
      <c r="M688" s="3" t="str">
        <f>HYPERLINK("..\..\Imagery\ScannedPhotos\1977\MC77-025.jpg")</f>
        <v>..\..\Imagery\ScannedPhotos\1977\MC77-025.jpg</v>
      </c>
    </row>
    <row r="689" spans="1:13" x14ac:dyDescent="0.25">
      <c r="A689" t="s">
        <v>1962</v>
      </c>
      <c r="B689">
        <v>458017</v>
      </c>
      <c r="C689">
        <v>5900144</v>
      </c>
      <c r="D689">
        <v>21</v>
      </c>
      <c r="E689" t="s">
        <v>15</v>
      </c>
      <c r="F689" t="s">
        <v>1963</v>
      </c>
      <c r="G689">
        <v>2</v>
      </c>
      <c r="H689" t="s">
        <v>1964</v>
      </c>
      <c r="I689" t="s">
        <v>209</v>
      </c>
      <c r="J689" t="s">
        <v>1965</v>
      </c>
      <c r="K689" t="s">
        <v>20</v>
      </c>
      <c r="L689" t="s">
        <v>1966</v>
      </c>
      <c r="M689" s="3" t="str">
        <f>HYPERLINK("..\..\Imagery\ScannedPhotos\1977\MC77-203.1.jpg")</f>
        <v>..\..\Imagery\ScannedPhotos\1977\MC77-203.1.jpg</v>
      </c>
    </row>
    <row r="690" spans="1:13" x14ac:dyDescent="0.25">
      <c r="A690" t="s">
        <v>1962</v>
      </c>
      <c r="B690">
        <v>458017</v>
      </c>
      <c r="C690">
        <v>5900144</v>
      </c>
      <c r="D690">
        <v>21</v>
      </c>
      <c r="E690" t="s">
        <v>15</v>
      </c>
      <c r="F690" t="s">
        <v>1967</v>
      </c>
      <c r="G690">
        <v>2</v>
      </c>
      <c r="H690" t="s">
        <v>1964</v>
      </c>
      <c r="I690" t="s">
        <v>386</v>
      </c>
      <c r="J690" t="s">
        <v>1965</v>
      </c>
      <c r="K690" t="s">
        <v>20</v>
      </c>
      <c r="L690" t="s">
        <v>1968</v>
      </c>
      <c r="M690" s="3" t="str">
        <f>HYPERLINK("..\..\Imagery\ScannedPhotos\1977\MC77-203.2.jpg")</f>
        <v>..\..\Imagery\ScannedPhotos\1977\MC77-203.2.jpg</v>
      </c>
    </row>
    <row r="691" spans="1:13" x14ac:dyDescent="0.25">
      <c r="A691" t="s">
        <v>1969</v>
      </c>
      <c r="B691">
        <v>489986</v>
      </c>
      <c r="C691">
        <v>5907566</v>
      </c>
      <c r="D691">
        <v>21</v>
      </c>
      <c r="E691" t="s">
        <v>15</v>
      </c>
      <c r="F691" t="s">
        <v>1970</v>
      </c>
      <c r="G691">
        <v>1</v>
      </c>
      <c r="H691" t="s">
        <v>1964</v>
      </c>
      <c r="I691" t="s">
        <v>214</v>
      </c>
      <c r="J691" t="s">
        <v>1965</v>
      </c>
      <c r="K691" t="s">
        <v>20</v>
      </c>
      <c r="L691" t="s">
        <v>1020</v>
      </c>
      <c r="M691" s="3" t="str">
        <f>HYPERLINK("..\..\Imagery\ScannedPhotos\1977\MC77-209.jpg")</f>
        <v>..\..\Imagery\ScannedPhotos\1977\MC77-209.jpg</v>
      </c>
    </row>
    <row r="692" spans="1:13" x14ac:dyDescent="0.25">
      <c r="A692" t="s">
        <v>1971</v>
      </c>
      <c r="B692">
        <v>466479</v>
      </c>
      <c r="C692">
        <v>5909395</v>
      </c>
      <c r="D692">
        <v>21</v>
      </c>
      <c r="E692" t="s">
        <v>15</v>
      </c>
      <c r="F692" t="s">
        <v>1972</v>
      </c>
      <c r="G692">
        <v>2</v>
      </c>
      <c r="H692" t="s">
        <v>1964</v>
      </c>
      <c r="I692" t="s">
        <v>418</v>
      </c>
      <c r="J692" t="s">
        <v>1965</v>
      </c>
      <c r="K692" t="s">
        <v>56</v>
      </c>
      <c r="L692" t="s">
        <v>1973</v>
      </c>
      <c r="M692" s="3" t="str">
        <f>HYPERLINK("..\..\Imagery\ScannedPhotos\1977\MC77-214.2.jpg")</f>
        <v>..\..\Imagery\ScannedPhotos\1977\MC77-214.2.jpg</v>
      </c>
    </row>
    <row r="693" spans="1:13" x14ac:dyDescent="0.25">
      <c r="A693" t="s">
        <v>1974</v>
      </c>
      <c r="B693">
        <v>495048</v>
      </c>
      <c r="C693">
        <v>5926317</v>
      </c>
      <c r="D693">
        <v>21</v>
      </c>
      <c r="E693" t="s">
        <v>15</v>
      </c>
      <c r="F693" t="s">
        <v>1975</v>
      </c>
      <c r="G693">
        <v>8</v>
      </c>
      <c r="K693" t="s">
        <v>935</v>
      </c>
      <c r="L693" t="s">
        <v>1976</v>
      </c>
      <c r="M693" s="3" t="str">
        <f>HYPERLINK("..\..\Imagery\ScannedPhotos\2004\CG04-173.6.jpg")</f>
        <v>..\..\Imagery\ScannedPhotos\2004\CG04-173.6.jpg</v>
      </c>
    </row>
    <row r="694" spans="1:13" x14ac:dyDescent="0.25">
      <c r="A694" t="s">
        <v>1974</v>
      </c>
      <c r="B694">
        <v>495048</v>
      </c>
      <c r="C694">
        <v>5926317</v>
      </c>
      <c r="D694">
        <v>21</v>
      </c>
      <c r="E694" t="s">
        <v>15</v>
      </c>
      <c r="F694" t="s">
        <v>1977</v>
      </c>
      <c r="G694">
        <v>8</v>
      </c>
      <c r="K694" t="s">
        <v>935</v>
      </c>
      <c r="L694" t="s">
        <v>1978</v>
      </c>
      <c r="M694" s="3" t="str">
        <f>HYPERLINK("..\..\Imagery\ScannedPhotos\2004\CG04-173.7.jpg")</f>
        <v>..\..\Imagery\ScannedPhotos\2004\CG04-173.7.jpg</v>
      </c>
    </row>
    <row r="695" spans="1:13" x14ac:dyDescent="0.25">
      <c r="A695" t="s">
        <v>1974</v>
      </c>
      <c r="B695">
        <v>495048</v>
      </c>
      <c r="C695">
        <v>5926317</v>
      </c>
      <c r="D695">
        <v>21</v>
      </c>
      <c r="E695" t="s">
        <v>15</v>
      </c>
      <c r="F695" t="s">
        <v>1979</v>
      </c>
      <c r="G695">
        <v>8</v>
      </c>
      <c r="K695" t="s">
        <v>935</v>
      </c>
      <c r="L695" t="s">
        <v>1980</v>
      </c>
      <c r="M695" s="3" t="str">
        <f>HYPERLINK("..\..\Imagery\ScannedPhotos\2004\CG04-173.8.jpg")</f>
        <v>..\..\Imagery\ScannedPhotos\2004\CG04-173.8.jpg</v>
      </c>
    </row>
    <row r="696" spans="1:13" x14ac:dyDescent="0.25">
      <c r="A696" t="s">
        <v>480</v>
      </c>
      <c r="B696">
        <v>479759</v>
      </c>
      <c r="C696">
        <v>5915852</v>
      </c>
      <c r="D696">
        <v>21</v>
      </c>
      <c r="E696" t="s">
        <v>15</v>
      </c>
      <c r="F696" t="s">
        <v>1981</v>
      </c>
      <c r="G696">
        <v>7</v>
      </c>
      <c r="K696" t="s">
        <v>109</v>
      </c>
      <c r="L696" t="s">
        <v>1982</v>
      </c>
      <c r="M696" s="3" t="str">
        <f>HYPERLINK("..\..\Imagery\ScannedPhotos\2004\CG04-196.1.jpg")</f>
        <v>..\..\Imagery\ScannedPhotos\2004\CG04-196.1.jpg</v>
      </c>
    </row>
    <row r="697" spans="1:13" x14ac:dyDescent="0.25">
      <c r="A697" t="s">
        <v>480</v>
      </c>
      <c r="B697">
        <v>479759</v>
      </c>
      <c r="C697">
        <v>5915852</v>
      </c>
      <c r="D697">
        <v>21</v>
      </c>
      <c r="E697" t="s">
        <v>15</v>
      </c>
      <c r="F697" t="s">
        <v>1983</v>
      </c>
      <c r="G697">
        <v>7</v>
      </c>
      <c r="K697" t="s">
        <v>109</v>
      </c>
      <c r="L697" t="s">
        <v>1982</v>
      </c>
      <c r="M697" s="3" t="str">
        <f>HYPERLINK("..\..\Imagery\ScannedPhotos\2004\CG04-196.2.jpg")</f>
        <v>..\..\Imagery\ScannedPhotos\2004\CG04-196.2.jpg</v>
      </c>
    </row>
    <row r="698" spans="1:13" x14ac:dyDescent="0.25">
      <c r="A698" t="s">
        <v>1403</v>
      </c>
      <c r="B698">
        <v>537298</v>
      </c>
      <c r="C698">
        <v>5961593</v>
      </c>
      <c r="D698">
        <v>21</v>
      </c>
      <c r="E698" t="s">
        <v>15</v>
      </c>
      <c r="F698" t="s">
        <v>1984</v>
      </c>
      <c r="G698">
        <v>31</v>
      </c>
      <c r="H698" t="s">
        <v>1405</v>
      </c>
      <c r="I698" t="s">
        <v>108</v>
      </c>
      <c r="J698" t="s">
        <v>48</v>
      </c>
      <c r="K698" t="s">
        <v>20</v>
      </c>
      <c r="L698" t="s">
        <v>1985</v>
      </c>
      <c r="M698" s="3" t="str">
        <f>HYPERLINK("..\..\Imagery\ScannedPhotos\1981\CG81-306.9.jpg")</f>
        <v>..\..\Imagery\ScannedPhotos\1981\CG81-306.9.jpg</v>
      </c>
    </row>
    <row r="699" spans="1:13" x14ac:dyDescent="0.25">
      <c r="A699" t="s">
        <v>1986</v>
      </c>
      <c r="B699">
        <v>538124</v>
      </c>
      <c r="C699">
        <v>5730008</v>
      </c>
      <c r="D699">
        <v>21</v>
      </c>
      <c r="E699" t="s">
        <v>15</v>
      </c>
      <c r="F699" t="s">
        <v>1987</v>
      </c>
      <c r="G699">
        <v>1</v>
      </c>
      <c r="H699" t="s">
        <v>1061</v>
      </c>
      <c r="I699" t="s">
        <v>108</v>
      </c>
      <c r="J699" t="s">
        <v>1062</v>
      </c>
      <c r="K699" t="s">
        <v>56</v>
      </c>
      <c r="L699" t="s">
        <v>1988</v>
      </c>
      <c r="M699" s="3" t="str">
        <f>HYPERLINK("..\..\Imagery\ScannedPhotos\1993\CG93-033.jpg")</f>
        <v>..\..\Imagery\ScannedPhotos\1993\CG93-033.jpg</v>
      </c>
    </row>
    <row r="700" spans="1:13" x14ac:dyDescent="0.25">
      <c r="A700" t="s">
        <v>1989</v>
      </c>
      <c r="B700">
        <v>537953</v>
      </c>
      <c r="C700">
        <v>5729879</v>
      </c>
      <c r="D700">
        <v>21</v>
      </c>
      <c r="E700" t="s">
        <v>15</v>
      </c>
      <c r="F700" t="s">
        <v>1990</v>
      </c>
      <c r="G700">
        <v>5</v>
      </c>
      <c r="H700" t="s">
        <v>1061</v>
      </c>
      <c r="I700" t="s">
        <v>143</v>
      </c>
      <c r="J700" t="s">
        <v>1062</v>
      </c>
      <c r="K700" t="s">
        <v>20</v>
      </c>
      <c r="L700" t="s">
        <v>1991</v>
      </c>
      <c r="M700" s="3" t="str">
        <f>HYPERLINK("..\..\Imagery\ScannedPhotos\1993\CG93-034.3.jpg")</f>
        <v>..\..\Imagery\ScannedPhotos\1993\CG93-034.3.jpg</v>
      </c>
    </row>
    <row r="701" spans="1:13" x14ac:dyDescent="0.25">
      <c r="A701" t="s">
        <v>1992</v>
      </c>
      <c r="B701">
        <v>586137</v>
      </c>
      <c r="C701">
        <v>5898017</v>
      </c>
      <c r="D701">
        <v>21</v>
      </c>
      <c r="E701" t="s">
        <v>15</v>
      </c>
      <c r="F701" t="s">
        <v>1993</v>
      </c>
      <c r="G701">
        <v>6</v>
      </c>
      <c r="H701" t="s">
        <v>1994</v>
      </c>
      <c r="I701" t="s">
        <v>35</v>
      </c>
      <c r="J701" t="s">
        <v>138</v>
      </c>
      <c r="K701" t="s">
        <v>20</v>
      </c>
      <c r="L701" t="s">
        <v>1995</v>
      </c>
      <c r="M701" s="3" t="str">
        <f>HYPERLINK("..\..\Imagery\ScannedPhotos\1985\GM85-583.2.jpg")</f>
        <v>..\..\Imagery\ScannedPhotos\1985\GM85-583.2.jpg</v>
      </c>
    </row>
    <row r="702" spans="1:13" x14ac:dyDescent="0.25">
      <c r="A702" t="s">
        <v>1992</v>
      </c>
      <c r="B702">
        <v>586137</v>
      </c>
      <c r="C702">
        <v>5898017</v>
      </c>
      <c r="D702">
        <v>21</v>
      </c>
      <c r="E702" t="s">
        <v>15</v>
      </c>
      <c r="F702" t="s">
        <v>1996</v>
      </c>
      <c r="G702">
        <v>6</v>
      </c>
      <c r="H702" t="s">
        <v>1994</v>
      </c>
      <c r="I702" t="s">
        <v>69</v>
      </c>
      <c r="J702" t="s">
        <v>138</v>
      </c>
      <c r="K702" t="s">
        <v>20</v>
      </c>
      <c r="L702" t="s">
        <v>1995</v>
      </c>
      <c r="M702" s="3" t="str">
        <f>HYPERLINK("..\..\Imagery\ScannedPhotos\1985\GM85-583.3.jpg")</f>
        <v>..\..\Imagery\ScannedPhotos\1985\GM85-583.3.jpg</v>
      </c>
    </row>
    <row r="703" spans="1:13" x14ac:dyDescent="0.25">
      <c r="A703" t="s">
        <v>1997</v>
      </c>
      <c r="B703">
        <v>390886</v>
      </c>
      <c r="C703">
        <v>6076989</v>
      </c>
      <c r="D703">
        <v>21</v>
      </c>
      <c r="E703" t="s">
        <v>15</v>
      </c>
      <c r="F703" t="s">
        <v>1998</v>
      </c>
      <c r="G703">
        <v>2</v>
      </c>
      <c r="H703" t="s">
        <v>1872</v>
      </c>
      <c r="I703" t="s">
        <v>129</v>
      </c>
      <c r="J703" t="s">
        <v>1873</v>
      </c>
      <c r="K703" t="s">
        <v>20</v>
      </c>
      <c r="L703" t="s">
        <v>1999</v>
      </c>
      <c r="M703" s="3" t="str">
        <f>HYPERLINK("..\..\Imagery\ScannedPhotos\1979\CG79-029.2.jpg")</f>
        <v>..\..\Imagery\ScannedPhotos\1979\CG79-029.2.jpg</v>
      </c>
    </row>
    <row r="704" spans="1:13" x14ac:dyDescent="0.25">
      <c r="A704" t="s">
        <v>2000</v>
      </c>
      <c r="B704">
        <v>390601</v>
      </c>
      <c r="C704">
        <v>6078130</v>
      </c>
      <c r="D704">
        <v>21</v>
      </c>
      <c r="E704" t="s">
        <v>15</v>
      </c>
      <c r="F704" t="s">
        <v>2001</v>
      </c>
      <c r="G704">
        <v>4</v>
      </c>
      <c r="H704" t="s">
        <v>1872</v>
      </c>
      <c r="I704" t="s">
        <v>47</v>
      </c>
      <c r="J704" t="s">
        <v>1873</v>
      </c>
      <c r="K704" t="s">
        <v>20</v>
      </c>
      <c r="L704" t="s">
        <v>2002</v>
      </c>
      <c r="M704" s="3" t="str">
        <f>HYPERLINK("..\..\Imagery\ScannedPhotos\1979\CG79-038.2.jpg")</f>
        <v>..\..\Imagery\ScannedPhotos\1979\CG79-038.2.jpg</v>
      </c>
    </row>
    <row r="705" spans="1:13" x14ac:dyDescent="0.25">
      <c r="A705" t="s">
        <v>2003</v>
      </c>
      <c r="B705">
        <v>431814</v>
      </c>
      <c r="C705">
        <v>6009939</v>
      </c>
      <c r="D705">
        <v>21</v>
      </c>
      <c r="E705" t="s">
        <v>15</v>
      </c>
      <c r="F705" t="s">
        <v>2004</v>
      </c>
      <c r="G705">
        <v>1</v>
      </c>
      <c r="H705" t="s">
        <v>1006</v>
      </c>
      <c r="I705" t="s">
        <v>222</v>
      </c>
      <c r="J705" t="s">
        <v>652</v>
      </c>
      <c r="K705" t="s">
        <v>20</v>
      </c>
      <c r="L705" t="s">
        <v>2005</v>
      </c>
      <c r="M705" s="3" t="str">
        <f>HYPERLINK("..\..\Imagery\ScannedPhotos\1980\CG80-058.jpg")</f>
        <v>..\..\Imagery\ScannedPhotos\1980\CG80-058.jpg</v>
      </c>
    </row>
    <row r="706" spans="1:13" x14ac:dyDescent="0.25">
      <c r="A706" t="s">
        <v>2006</v>
      </c>
      <c r="B706">
        <v>431952</v>
      </c>
      <c r="C706">
        <v>6009891</v>
      </c>
      <c r="D706">
        <v>21</v>
      </c>
      <c r="E706" t="s">
        <v>15</v>
      </c>
      <c r="F706" t="s">
        <v>2007</v>
      </c>
      <c r="G706">
        <v>1</v>
      </c>
      <c r="H706" t="s">
        <v>1006</v>
      </c>
      <c r="I706" t="s">
        <v>418</v>
      </c>
      <c r="J706" t="s">
        <v>652</v>
      </c>
      <c r="K706" t="s">
        <v>20</v>
      </c>
      <c r="L706" t="s">
        <v>2008</v>
      </c>
      <c r="M706" s="3" t="str">
        <f>HYPERLINK("..\..\Imagery\ScannedPhotos\1980\CG80-059.jpg")</f>
        <v>..\..\Imagery\ScannedPhotos\1980\CG80-059.jpg</v>
      </c>
    </row>
    <row r="707" spans="1:13" x14ac:dyDescent="0.25">
      <c r="A707" t="s">
        <v>2009</v>
      </c>
      <c r="B707">
        <v>384372</v>
      </c>
      <c r="C707">
        <v>6057724</v>
      </c>
      <c r="D707">
        <v>21</v>
      </c>
      <c r="E707" t="s">
        <v>15</v>
      </c>
      <c r="F707" t="s">
        <v>2010</v>
      </c>
      <c r="G707">
        <v>1</v>
      </c>
      <c r="H707" t="s">
        <v>2011</v>
      </c>
      <c r="I707" t="s">
        <v>122</v>
      </c>
      <c r="J707" t="s">
        <v>1624</v>
      </c>
      <c r="K707" t="s">
        <v>56</v>
      </c>
      <c r="L707" t="s">
        <v>2012</v>
      </c>
      <c r="M707" s="3" t="str">
        <f>HYPERLINK("..\..\Imagery\ScannedPhotos\1978\AL78-195.jpg")</f>
        <v>..\..\Imagery\ScannedPhotos\1978\AL78-195.jpg</v>
      </c>
    </row>
    <row r="708" spans="1:13" x14ac:dyDescent="0.25">
      <c r="A708" t="s">
        <v>2013</v>
      </c>
      <c r="B708">
        <v>403718</v>
      </c>
      <c r="C708">
        <v>6006491</v>
      </c>
      <c r="D708">
        <v>21</v>
      </c>
      <c r="E708" t="s">
        <v>15</v>
      </c>
      <c r="F708" t="s">
        <v>2014</v>
      </c>
      <c r="G708">
        <v>5</v>
      </c>
      <c r="H708" t="s">
        <v>1593</v>
      </c>
      <c r="I708" t="s">
        <v>647</v>
      </c>
      <c r="J708" t="s">
        <v>1594</v>
      </c>
      <c r="K708" t="s">
        <v>20</v>
      </c>
      <c r="L708" t="s">
        <v>2015</v>
      </c>
      <c r="M708" s="3" t="str">
        <f>HYPERLINK("..\..\Imagery\ScannedPhotos\1980\NN80-020.5.jpg")</f>
        <v>..\..\Imagery\ScannedPhotos\1980\NN80-020.5.jpg</v>
      </c>
    </row>
    <row r="709" spans="1:13" x14ac:dyDescent="0.25">
      <c r="A709" t="s">
        <v>2016</v>
      </c>
      <c r="B709">
        <v>541934</v>
      </c>
      <c r="C709">
        <v>5828933</v>
      </c>
      <c r="D709">
        <v>21</v>
      </c>
      <c r="E709" t="s">
        <v>15</v>
      </c>
      <c r="F709" t="s">
        <v>2017</v>
      </c>
      <c r="G709">
        <v>1</v>
      </c>
      <c r="H709" t="s">
        <v>2018</v>
      </c>
      <c r="I709" t="s">
        <v>69</v>
      </c>
      <c r="J709" t="s">
        <v>2019</v>
      </c>
      <c r="K709" t="s">
        <v>20</v>
      </c>
      <c r="L709" t="s">
        <v>2020</v>
      </c>
      <c r="M709" s="3" t="str">
        <f>HYPERLINK("..\..\Imagery\ScannedPhotos\1986\SN86-015.jpg")</f>
        <v>..\..\Imagery\ScannedPhotos\1986\SN86-015.jpg</v>
      </c>
    </row>
    <row r="710" spans="1:13" x14ac:dyDescent="0.25">
      <c r="A710" t="s">
        <v>2021</v>
      </c>
      <c r="B710">
        <v>584277</v>
      </c>
      <c r="C710">
        <v>5791850</v>
      </c>
      <c r="D710">
        <v>21</v>
      </c>
      <c r="E710" t="s">
        <v>15</v>
      </c>
      <c r="F710" t="s">
        <v>2022</v>
      </c>
      <c r="G710">
        <v>3</v>
      </c>
      <c r="H710" t="s">
        <v>2023</v>
      </c>
      <c r="I710" t="s">
        <v>304</v>
      </c>
      <c r="J710" t="s">
        <v>1052</v>
      </c>
      <c r="K710" t="s">
        <v>20</v>
      </c>
      <c r="L710" t="s">
        <v>2024</v>
      </c>
      <c r="M710" s="3" t="str">
        <f>HYPERLINK("..\..\Imagery\ScannedPhotos\1987\JS87-498.3.jpg")</f>
        <v>..\..\Imagery\ScannedPhotos\1987\JS87-498.3.jpg</v>
      </c>
    </row>
    <row r="711" spans="1:13" x14ac:dyDescent="0.25">
      <c r="A711" t="s">
        <v>2025</v>
      </c>
      <c r="B711">
        <v>587544</v>
      </c>
      <c r="C711">
        <v>5793787</v>
      </c>
      <c r="D711">
        <v>21</v>
      </c>
      <c r="E711" t="s">
        <v>15</v>
      </c>
      <c r="F711" t="s">
        <v>2026</v>
      </c>
      <c r="G711">
        <v>1</v>
      </c>
      <c r="H711" t="s">
        <v>2023</v>
      </c>
      <c r="I711" t="s">
        <v>360</v>
      </c>
      <c r="J711" t="s">
        <v>1052</v>
      </c>
      <c r="K711" t="s">
        <v>20</v>
      </c>
      <c r="L711" t="s">
        <v>2027</v>
      </c>
      <c r="M711" s="3" t="str">
        <f>HYPERLINK("..\..\Imagery\ScannedPhotos\1987\JS87-507.jpg")</f>
        <v>..\..\Imagery\ScannedPhotos\1987\JS87-507.jpg</v>
      </c>
    </row>
    <row r="712" spans="1:13" x14ac:dyDescent="0.25">
      <c r="A712" t="s">
        <v>2028</v>
      </c>
      <c r="B712">
        <v>588440</v>
      </c>
      <c r="C712">
        <v>5790247</v>
      </c>
      <c r="D712">
        <v>21</v>
      </c>
      <c r="E712" t="s">
        <v>15</v>
      </c>
      <c r="F712" t="s">
        <v>2029</v>
      </c>
      <c r="G712">
        <v>1</v>
      </c>
      <c r="H712" t="s">
        <v>1759</v>
      </c>
      <c r="I712" t="s">
        <v>137</v>
      </c>
      <c r="J712" t="s">
        <v>36</v>
      </c>
      <c r="K712" t="s">
        <v>20</v>
      </c>
      <c r="L712" t="s">
        <v>2030</v>
      </c>
      <c r="M712" s="3" t="str">
        <f>HYPERLINK("..\..\Imagery\ScannedPhotos\1987\JS87-532.jpg")</f>
        <v>..\..\Imagery\ScannedPhotos\1987\JS87-532.jpg</v>
      </c>
    </row>
    <row r="713" spans="1:13" x14ac:dyDescent="0.25">
      <c r="A713" t="s">
        <v>2031</v>
      </c>
      <c r="B713">
        <v>589511</v>
      </c>
      <c r="C713">
        <v>5790166</v>
      </c>
      <c r="D713">
        <v>21</v>
      </c>
      <c r="E713" t="s">
        <v>15</v>
      </c>
      <c r="F713" t="s">
        <v>2032</v>
      </c>
      <c r="G713">
        <v>2</v>
      </c>
      <c r="H713" t="s">
        <v>1759</v>
      </c>
      <c r="I713" t="s">
        <v>18</v>
      </c>
      <c r="J713" t="s">
        <v>36</v>
      </c>
      <c r="K713" t="s">
        <v>20</v>
      </c>
      <c r="L713" t="s">
        <v>1228</v>
      </c>
      <c r="M713" s="3" t="str">
        <f>HYPERLINK("..\..\Imagery\ScannedPhotos\1987\JS87-544.1.jpg")</f>
        <v>..\..\Imagery\ScannedPhotos\1987\JS87-544.1.jpg</v>
      </c>
    </row>
    <row r="714" spans="1:13" x14ac:dyDescent="0.25">
      <c r="A714" t="s">
        <v>2031</v>
      </c>
      <c r="B714">
        <v>589511</v>
      </c>
      <c r="C714">
        <v>5790166</v>
      </c>
      <c r="D714">
        <v>21</v>
      </c>
      <c r="E714" t="s">
        <v>15</v>
      </c>
      <c r="F714" t="s">
        <v>2033</v>
      </c>
      <c r="G714">
        <v>2</v>
      </c>
      <c r="H714" t="s">
        <v>1759</v>
      </c>
      <c r="I714" t="s">
        <v>35</v>
      </c>
      <c r="J714" t="s">
        <v>36</v>
      </c>
      <c r="K714" t="s">
        <v>20</v>
      </c>
      <c r="L714" t="s">
        <v>1228</v>
      </c>
      <c r="M714" s="3" t="str">
        <f>HYPERLINK("..\..\Imagery\ScannedPhotos\1987\JS87-544.2.jpg")</f>
        <v>..\..\Imagery\ScannedPhotos\1987\JS87-544.2.jpg</v>
      </c>
    </row>
    <row r="715" spans="1:13" x14ac:dyDescent="0.25">
      <c r="A715" t="s">
        <v>2034</v>
      </c>
      <c r="B715">
        <v>594607</v>
      </c>
      <c r="C715">
        <v>5789811</v>
      </c>
      <c r="D715">
        <v>21</v>
      </c>
      <c r="E715" t="s">
        <v>15</v>
      </c>
      <c r="F715" t="s">
        <v>2035</v>
      </c>
      <c r="G715">
        <v>1</v>
      </c>
      <c r="H715" t="s">
        <v>1759</v>
      </c>
      <c r="I715" t="s">
        <v>69</v>
      </c>
      <c r="J715" t="s">
        <v>36</v>
      </c>
      <c r="K715" t="s">
        <v>56</v>
      </c>
      <c r="L715" t="s">
        <v>2036</v>
      </c>
      <c r="M715" s="3" t="str">
        <f>HYPERLINK("..\..\Imagery\ScannedPhotos\1987\JS87-556.jpg")</f>
        <v>..\..\Imagery\ScannedPhotos\1987\JS87-556.jpg</v>
      </c>
    </row>
    <row r="716" spans="1:13" x14ac:dyDescent="0.25">
      <c r="A716" t="s">
        <v>2037</v>
      </c>
      <c r="B716">
        <v>581561</v>
      </c>
      <c r="C716">
        <v>5797178</v>
      </c>
      <c r="D716">
        <v>21</v>
      </c>
      <c r="E716" t="s">
        <v>15</v>
      </c>
      <c r="F716" t="s">
        <v>2038</v>
      </c>
      <c r="G716">
        <v>1</v>
      </c>
      <c r="H716" t="s">
        <v>1759</v>
      </c>
      <c r="I716" t="s">
        <v>74</v>
      </c>
      <c r="J716" t="s">
        <v>36</v>
      </c>
      <c r="K716" t="s">
        <v>20</v>
      </c>
      <c r="L716" t="s">
        <v>2039</v>
      </c>
      <c r="M716" s="3" t="str">
        <f>HYPERLINK("..\..\Imagery\ScannedPhotos\1987\JS87-580.jpg")</f>
        <v>..\..\Imagery\ScannedPhotos\1987\JS87-580.jpg</v>
      </c>
    </row>
    <row r="717" spans="1:13" x14ac:dyDescent="0.25">
      <c r="A717" t="s">
        <v>2040</v>
      </c>
      <c r="B717">
        <v>577163</v>
      </c>
      <c r="C717">
        <v>5882399</v>
      </c>
      <c r="D717">
        <v>21</v>
      </c>
      <c r="E717" t="s">
        <v>15</v>
      </c>
      <c r="F717" t="s">
        <v>2041</v>
      </c>
      <c r="G717">
        <v>2</v>
      </c>
      <c r="H717" t="s">
        <v>1507</v>
      </c>
      <c r="I717" t="s">
        <v>214</v>
      </c>
      <c r="J717" t="s">
        <v>1508</v>
      </c>
      <c r="K717" t="s">
        <v>20</v>
      </c>
      <c r="L717" t="s">
        <v>2042</v>
      </c>
      <c r="M717" s="3" t="str">
        <f>HYPERLINK("..\..\Imagery\ScannedPhotos\1985\GM85-481.1.jpg")</f>
        <v>..\..\Imagery\ScannedPhotos\1985\GM85-481.1.jpg</v>
      </c>
    </row>
    <row r="718" spans="1:13" x14ac:dyDescent="0.25">
      <c r="A718" t="s">
        <v>2043</v>
      </c>
      <c r="B718">
        <v>577604</v>
      </c>
      <c r="C718">
        <v>5882090</v>
      </c>
      <c r="D718">
        <v>21</v>
      </c>
      <c r="E718" t="s">
        <v>15</v>
      </c>
      <c r="F718" t="s">
        <v>2044</v>
      </c>
      <c r="G718">
        <v>5</v>
      </c>
      <c r="H718" t="s">
        <v>1507</v>
      </c>
      <c r="I718" t="s">
        <v>195</v>
      </c>
      <c r="J718" t="s">
        <v>1508</v>
      </c>
      <c r="K718" t="s">
        <v>56</v>
      </c>
      <c r="L718" t="s">
        <v>2045</v>
      </c>
      <c r="M718" s="3" t="str">
        <f>HYPERLINK("..\..\Imagery\ScannedPhotos\1985\GM85-484.3.jpg")</f>
        <v>..\..\Imagery\ScannedPhotos\1985\GM85-484.3.jpg</v>
      </c>
    </row>
    <row r="719" spans="1:13" x14ac:dyDescent="0.25">
      <c r="A719" t="s">
        <v>2046</v>
      </c>
      <c r="B719">
        <v>421673</v>
      </c>
      <c r="C719">
        <v>5890525</v>
      </c>
      <c r="D719">
        <v>21</v>
      </c>
      <c r="E719" t="s">
        <v>15</v>
      </c>
      <c r="F719" t="s">
        <v>2047</v>
      </c>
      <c r="G719">
        <v>2</v>
      </c>
      <c r="H719" t="s">
        <v>1251</v>
      </c>
      <c r="I719" t="s">
        <v>74</v>
      </c>
      <c r="J719" t="s">
        <v>563</v>
      </c>
      <c r="K719" t="s">
        <v>20</v>
      </c>
      <c r="L719" t="s">
        <v>2048</v>
      </c>
      <c r="M719" s="3" t="str">
        <f>HYPERLINK("..\..\Imagery\ScannedPhotos\1995\VN95-010.1.jpg")</f>
        <v>..\..\Imagery\ScannedPhotos\1995\VN95-010.1.jpg</v>
      </c>
    </row>
    <row r="720" spans="1:13" x14ac:dyDescent="0.25">
      <c r="A720" t="s">
        <v>2046</v>
      </c>
      <c r="B720">
        <v>421673</v>
      </c>
      <c r="C720">
        <v>5890525</v>
      </c>
      <c r="D720">
        <v>21</v>
      </c>
      <c r="E720" t="s">
        <v>15</v>
      </c>
      <c r="F720" t="s">
        <v>2049</v>
      </c>
      <c r="G720">
        <v>2</v>
      </c>
      <c r="H720" t="s">
        <v>1251</v>
      </c>
      <c r="I720" t="s">
        <v>41</v>
      </c>
      <c r="J720" t="s">
        <v>563</v>
      </c>
      <c r="K720" t="s">
        <v>56</v>
      </c>
      <c r="L720" t="s">
        <v>2050</v>
      </c>
      <c r="M720" s="3" t="str">
        <f>HYPERLINK("..\..\Imagery\ScannedPhotos\1995\VN95-010.2.jpg")</f>
        <v>..\..\Imagery\ScannedPhotos\1995\VN95-010.2.jpg</v>
      </c>
    </row>
    <row r="721" spans="1:13" x14ac:dyDescent="0.25">
      <c r="A721" t="s">
        <v>2051</v>
      </c>
      <c r="B721">
        <v>423492</v>
      </c>
      <c r="C721">
        <v>5890663</v>
      </c>
      <c r="D721">
        <v>21</v>
      </c>
      <c r="E721" t="s">
        <v>15</v>
      </c>
      <c r="F721" t="s">
        <v>2052</v>
      </c>
      <c r="G721">
        <v>5</v>
      </c>
      <c r="H721" t="s">
        <v>1251</v>
      </c>
      <c r="I721" t="s">
        <v>85</v>
      </c>
      <c r="J721" t="s">
        <v>563</v>
      </c>
      <c r="K721" t="s">
        <v>56</v>
      </c>
      <c r="L721" t="s">
        <v>2053</v>
      </c>
      <c r="M721" s="3" t="str">
        <f>HYPERLINK("..\..\Imagery\ScannedPhotos\1995\VN95-014.1.jpg")</f>
        <v>..\..\Imagery\ScannedPhotos\1995\VN95-014.1.jpg</v>
      </c>
    </row>
    <row r="722" spans="1:13" x14ac:dyDescent="0.25">
      <c r="A722" t="s">
        <v>1572</v>
      </c>
      <c r="B722">
        <v>570310</v>
      </c>
      <c r="C722">
        <v>5784110</v>
      </c>
      <c r="D722">
        <v>21</v>
      </c>
      <c r="E722" t="s">
        <v>15</v>
      </c>
      <c r="F722" t="s">
        <v>2054</v>
      </c>
      <c r="G722">
        <v>3</v>
      </c>
      <c r="K722" t="s">
        <v>56</v>
      </c>
      <c r="L722" t="s">
        <v>2055</v>
      </c>
      <c r="M722" s="3" t="str">
        <f>HYPERLINK("..\..\Imagery\ScannedPhotos\2003\CG03-113.3.jpg")</f>
        <v>..\..\Imagery\ScannedPhotos\2003\CG03-113.3.jpg</v>
      </c>
    </row>
    <row r="723" spans="1:13" x14ac:dyDescent="0.25">
      <c r="A723" t="s">
        <v>2056</v>
      </c>
      <c r="B723">
        <v>447200</v>
      </c>
      <c r="C723">
        <v>5924550</v>
      </c>
      <c r="D723">
        <v>21</v>
      </c>
      <c r="E723" t="s">
        <v>15</v>
      </c>
      <c r="F723" t="s">
        <v>2057</v>
      </c>
      <c r="G723">
        <v>7</v>
      </c>
      <c r="H723" t="s">
        <v>1604</v>
      </c>
      <c r="I723" t="s">
        <v>69</v>
      </c>
      <c r="J723" t="s">
        <v>1605</v>
      </c>
      <c r="K723" t="s">
        <v>20</v>
      </c>
      <c r="L723" t="s">
        <v>2058</v>
      </c>
      <c r="M723" s="3" t="str">
        <f>HYPERLINK("..\..\Imagery\ScannedPhotos\1985\CG85-309.6.jpg")</f>
        <v>..\..\Imagery\ScannedPhotos\1985\CG85-309.6.jpg</v>
      </c>
    </row>
    <row r="724" spans="1:13" x14ac:dyDescent="0.25">
      <c r="A724" t="s">
        <v>2056</v>
      </c>
      <c r="B724">
        <v>447200</v>
      </c>
      <c r="C724">
        <v>5924550</v>
      </c>
      <c r="D724">
        <v>21</v>
      </c>
      <c r="E724" t="s">
        <v>15</v>
      </c>
      <c r="F724" t="s">
        <v>2059</v>
      </c>
      <c r="G724">
        <v>7</v>
      </c>
      <c r="H724" t="s">
        <v>1604</v>
      </c>
      <c r="I724" t="s">
        <v>79</v>
      </c>
      <c r="J724" t="s">
        <v>1605</v>
      </c>
      <c r="K724" t="s">
        <v>20</v>
      </c>
      <c r="L724" t="s">
        <v>2060</v>
      </c>
      <c r="M724" s="3" t="str">
        <f>HYPERLINK("..\..\Imagery\ScannedPhotos\1985\CG85-309.1.jpg")</f>
        <v>..\..\Imagery\ScannedPhotos\1985\CG85-309.1.jpg</v>
      </c>
    </row>
    <row r="725" spans="1:13" x14ac:dyDescent="0.25">
      <c r="A725" t="s">
        <v>2056</v>
      </c>
      <c r="B725">
        <v>447200</v>
      </c>
      <c r="C725">
        <v>5924550</v>
      </c>
      <c r="D725">
        <v>21</v>
      </c>
      <c r="E725" t="s">
        <v>15</v>
      </c>
      <c r="F725" t="s">
        <v>2061</v>
      </c>
      <c r="G725">
        <v>7</v>
      </c>
      <c r="H725" t="s">
        <v>1604</v>
      </c>
      <c r="I725" t="s">
        <v>281</v>
      </c>
      <c r="J725" t="s">
        <v>1605</v>
      </c>
      <c r="K725" t="s">
        <v>20</v>
      </c>
      <c r="L725" t="s">
        <v>2062</v>
      </c>
      <c r="M725" s="3" t="str">
        <f>HYPERLINK("..\..\Imagery\ScannedPhotos\1985\CG85-309.2.jpg")</f>
        <v>..\..\Imagery\ScannedPhotos\1985\CG85-309.2.jpg</v>
      </c>
    </row>
    <row r="726" spans="1:13" x14ac:dyDescent="0.25">
      <c r="A726" t="s">
        <v>2063</v>
      </c>
      <c r="B726">
        <v>436923</v>
      </c>
      <c r="C726">
        <v>5897453</v>
      </c>
      <c r="D726">
        <v>21</v>
      </c>
      <c r="E726" t="s">
        <v>15</v>
      </c>
      <c r="F726" t="s">
        <v>2064</v>
      </c>
      <c r="G726">
        <v>4</v>
      </c>
      <c r="H726" t="s">
        <v>2065</v>
      </c>
      <c r="I726" t="s">
        <v>418</v>
      </c>
      <c r="J726" t="s">
        <v>156</v>
      </c>
      <c r="K726" t="s">
        <v>20</v>
      </c>
      <c r="L726" t="s">
        <v>2066</v>
      </c>
      <c r="M726" s="3" t="str">
        <f>HYPERLINK("..\..\Imagery\ScannedPhotos\1984\NN84-061.2.jpg")</f>
        <v>..\..\Imagery\ScannedPhotos\1984\NN84-061.2.jpg</v>
      </c>
    </row>
    <row r="727" spans="1:13" x14ac:dyDescent="0.25">
      <c r="A727" t="s">
        <v>1403</v>
      </c>
      <c r="B727">
        <v>537298</v>
      </c>
      <c r="C727">
        <v>5961593</v>
      </c>
      <c r="D727">
        <v>21</v>
      </c>
      <c r="E727" t="s">
        <v>15</v>
      </c>
      <c r="F727" t="s">
        <v>2067</v>
      </c>
      <c r="G727">
        <v>31</v>
      </c>
      <c r="H727" t="s">
        <v>1480</v>
      </c>
      <c r="I727" t="s">
        <v>18</v>
      </c>
      <c r="J727" t="s">
        <v>48</v>
      </c>
      <c r="K727" t="s">
        <v>228</v>
      </c>
      <c r="L727" t="s">
        <v>2068</v>
      </c>
      <c r="M727" s="3" t="str">
        <f>HYPERLINK("..\..\Imagery\ScannedPhotos\1981\CG81-306.23.jpg")</f>
        <v>..\..\Imagery\ScannedPhotos\1981\CG81-306.23.jpg</v>
      </c>
    </row>
    <row r="728" spans="1:13" x14ac:dyDescent="0.25">
      <c r="A728" t="s">
        <v>1403</v>
      </c>
      <c r="B728">
        <v>537298</v>
      </c>
      <c r="C728">
        <v>5961593</v>
      </c>
      <c r="D728">
        <v>21</v>
      </c>
      <c r="E728" t="s">
        <v>15</v>
      </c>
      <c r="F728" t="s">
        <v>2069</v>
      </c>
      <c r="G728">
        <v>31</v>
      </c>
      <c r="H728" t="s">
        <v>1480</v>
      </c>
      <c r="I728" t="s">
        <v>137</v>
      </c>
      <c r="J728" t="s">
        <v>48</v>
      </c>
      <c r="K728" t="s">
        <v>228</v>
      </c>
      <c r="L728" t="s">
        <v>2068</v>
      </c>
      <c r="M728" s="3" t="str">
        <f>HYPERLINK("..\..\Imagery\ScannedPhotos\1981\CG81-306.22.jpg")</f>
        <v>..\..\Imagery\ScannedPhotos\1981\CG81-306.22.jpg</v>
      </c>
    </row>
    <row r="729" spans="1:13" x14ac:dyDescent="0.25">
      <c r="A729" t="s">
        <v>1403</v>
      </c>
      <c r="B729">
        <v>537298</v>
      </c>
      <c r="C729">
        <v>5961593</v>
      </c>
      <c r="D729">
        <v>21</v>
      </c>
      <c r="E729" t="s">
        <v>15</v>
      </c>
      <c r="F729" t="s">
        <v>2070</v>
      </c>
      <c r="G729">
        <v>31</v>
      </c>
      <c r="H729" t="s">
        <v>1480</v>
      </c>
      <c r="I729" t="s">
        <v>281</v>
      </c>
      <c r="J729" t="s">
        <v>48</v>
      </c>
      <c r="K729" t="s">
        <v>228</v>
      </c>
      <c r="L729" t="s">
        <v>2068</v>
      </c>
      <c r="M729" s="3" t="str">
        <f>HYPERLINK("..\..\Imagery\ScannedPhotos\1981\CG81-306.21.jpg")</f>
        <v>..\..\Imagery\ScannedPhotos\1981\CG81-306.21.jpg</v>
      </c>
    </row>
    <row r="730" spans="1:13" x14ac:dyDescent="0.25">
      <c r="A730" t="s">
        <v>1403</v>
      </c>
      <c r="B730">
        <v>537298</v>
      </c>
      <c r="C730">
        <v>5961593</v>
      </c>
      <c r="D730">
        <v>21</v>
      </c>
      <c r="E730" t="s">
        <v>15</v>
      </c>
      <c r="F730" t="s">
        <v>2071</v>
      </c>
      <c r="G730">
        <v>31</v>
      </c>
      <c r="H730" t="s">
        <v>1480</v>
      </c>
      <c r="I730" t="s">
        <v>294</v>
      </c>
      <c r="J730" t="s">
        <v>48</v>
      </c>
      <c r="K730" t="s">
        <v>20</v>
      </c>
      <c r="L730" t="s">
        <v>2072</v>
      </c>
      <c r="M730" s="3" t="str">
        <f>HYPERLINK("..\..\Imagery\ScannedPhotos\1981\CG81-306.19.jpg")</f>
        <v>..\..\Imagery\ScannedPhotos\1981\CG81-306.19.jpg</v>
      </c>
    </row>
    <row r="731" spans="1:13" x14ac:dyDescent="0.25">
      <c r="A731" t="s">
        <v>1403</v>
      </c>
      <c r="B731">
        <v>537298</v>
      </c>
      <c r="C731">
        <v>5961593</v>
      </c>
      <c r="D731">
        <v>21</v>
      </c>
      <c r="E731" t="s">
        <v>15</v>
      </c>
      <c r="F731" t="s">
        <v>2073</v>
      </c>
      <c r="G731">
        <v>31</v>
      </c>
      <c r="H731" t="s">
        <v>1405</v>
      </c>
      <c r="I731" t="s">
        <v>143</v>
      </c>
      <c r="J731" t="s">
        <v>48</v>
      </c>
      <c r="K731" t="s">
        <v>20</v>
      </c>
      <c r="L731" t="s">
        <v>1406</v>
      </c>
      <c r="M731" s="3" t="str">
        <f>HYPERLINK("..\..\Imagery\ScannedPhotos\1981\CG81-306.12.jpg")</f>
        <v>..\..\Imagery\ScannedPhotos\1981\CG81-306.12.jpg</v>
      </c>
    </row>
    <row r="732" spans="1:13" x14ac:dyDescent="0.25">
      <c r="A732" t="s">
        <v>1403</v>
      </c>
      <c r="B732">
        <v>537298</v>
      </c>
      <c r="C732">
        <v>5961593</v>
      </c>
      <c r="D732">
        <v>21</v>
      </c>
      <c r="E732" t="s">
        <v>15</v>
      </c>
      <c r="F732" t="s">
        <v>2074</v>
      </c>
      <c r="G732">
        <v>31</v>
      </c>
      <c r="H732" t="s">
        <v>1405</v>
      </c>
      <c r="I732" t="s">
        <v>409</v>
      </c>
      <c r="J732" t="s">
        <v>48</v>
      </c>
      <c r="K732" t="s">
        <v>20</v>
      </c>
      <c r="L732" t="s">
        <v>2075</v>
      </c>
      <c r="M732" s="3" t="str">
        <f>HYPERLINK("..\..\Imagery\ScannedPhotos\1981\CG81-306.18.jpg")</f>
        <v>..\..\Imagery\ScannedPhotos\1981\CG81-306.18.jpg</v>
      </c>
    </row>
    <row r="733" spans="1:13" x14ac:dyDescent="0.25">
      <c r="A733" t="s">
        <v>1403</v>
      </c>
      <c r="B733">
        <v>537298</v>
      </c>
      <c r="C733">
        <v>5961593</v>
      </c>
      <c r="D733">
        <v>21</v>
      </c>
      <c r="E733" t="s">
        <v>15</v>
      </c>
      <c r="F733" t="s">
        <v>2076</v>
      </c>
      <c r="G733">
        <v>31</v>
      </c>
      <c r="H733" t="s">
        <v>1405</v>
      </c>
      <c r="I733" t="s">
        <v>401</v>
      </c>
      <c r="J733" t="s">
        <v>48</v>
      </c>
      <c r="K733" t="s">
        <v>20</v>
      </c>
      <c r="L733" t="s">
        <v>2077</v>
      </c>
      <c r="M733" s="3" t="str">
        <f>HYPERLINK("..\..\Imagery\ScannedPhotos\1981\CG81-306.17.jpg")</f>
        <v>..\..\Imagery\ScannedPhotos\1981\CG81-306.17.jpg</v>
      </c>
    </row>
    <row r="734" spans="1:13" x14ac:dyDescent="0.25">
      <c r="A734" t="s">
        <v>1403</v>
      </c>
      <c r="B734">
        <v>537298</v>
      </c>
      <c r="C734">
        <v>5961593</v>
      </c>
      <c r="D734">
        <v>21</v>
      </c>
      <c r="E734" t="s">
        <v>15</v>
      </c>
      <c r="F734" t="s">
        <v>2078</v>
      </c>
      <c r="G734">
        <v>31</v>
      </c>
      <c r="H734" t="s">
        <v>1405</v>
      </c>
      <c r="I734" t="s">
        <v>65</v>
      </c>
      <c r="J734" t="s">
        <v>48</v>
      </c>
      <c r="K734" t="s">
        <v>20</v>
      </c>
      <c r="L734" t="s">
        <v>2079</v>
      </c>
      <c r="M734" s="3" t="str">
        <f>HYPERLINK("..\..\Imagery\ScannedPhotos\1981\CG81-306.16.jpg")</f>
        <v>..\..\Imagery\ScannedPhotos\1981\CG81-306.16.jpg</v>
      </c>
    </row>
    <row r="735" spans="1:13" x14ac:dyDescent="0.25">
      <c r="A735" t="s">
        <v>1403</v>
      </c>
      <c r="B735">
        <v>537298</v>
      </c>
      <c r="C735">
        <v>5961593</v>
      </c>
      <c r="D735">
        <v>21</v>
      </c>
      <c r="E735" t="s">
        <v>15</v>
      </c>
      <c r="F735" t="s">
        <v>2080</v>
      </c>
      <c r="G735">
        <v>31</v>
      </c>
      <c r="H735" t="s">
        <v>1405</v>
      </c>
      <c r="I735" t="s">
        <v>52</v>
      </c>
      <c r="J735" t="s">
        <v>48</v>
      </c>
      <c r="K735" t="s">
        <v>20</v>
      </c>
      <c r="L735" t="s">
        <v>2081</v>
      </c>
      <c r="M735" s="3" t="str">
        <f>HYPERLINK("..\..\Imagery\ScannedPhotos\1981\CG81-306.15.jpg")</f>
        <v>..\..\Imagery\ScannedPhotos\1981\CG81-306.15.jpg</v>
      </c>
    </row>
    <row r="736" spans="1:13" x14ac:dyDescent="0.25">
      <c r="A736" t="s">
        <v>1403</v>
      </c>
      <c r="B736">
        <v>537298</v>
      </c>
      <c r="C736">
        <v>5961593</v>
      </c>
      <c r="D736">
        <v>21</v>
      </c>
      <c r="E736" t="s">
        <v>15</v>
      </c>
      <c r="F736" t="s">
        <v>2082</v>
      </c>
      <c r="G736">
        <v>31</v>
      </c>
      <c r="H736" t="s">
        <v>1405</v>
      </c>
      <c r="I736" t="s">
        <v>47</v>
      </c>
      <c r="J736" t="s">
        <v>48</v>
      </c>
      <c r="K736" t="s">
        <v>20</v>
      </c>
      <c r="L736" t="s">
        <v>1406</v>
      </c>
      <c r="M736" s="3" t="str">
        <f>HYPERLINK("..\..\Imagery\ScannedPhotos\1981\CG81-306.14.jpg")</f>
        <v>..\..\Imagery\ScannedPhotos\1981\CG81-306.14.jpg</v>
      </c>
    </row>
    <row r="737" spans="1:13" x14ac:dyDescent="0.25">
      <c r="A737" t="s">
        <v>1403</v>
      </c>
      <c r="B737">
        <v>537298</v>
      </c>
      <c r="C737">
        <v>5961593</v>
      </c>
      <c r="D737">
        <v>21</v>
      </c>
      <c r="E737" t="s">
        <v>15</v>
      </c>
      <c r="F737" t="s">
        <v>2083</v>
      </c>
      <c r="G737">
        <v>31</v>
      </c>
      <c r="H737" t="s">
        <v>2084</v>
      </c>
      <c r="I737" t="s">
        <v>47</v>
      </c>
      <c r="J737" t="s">
        <v>1014</v>
      </c>
      <c r="K737" t="s">
        <v>20</v>
      </c>
      <c r="L737" t="s">
        <v>2085</v>
      </c>
      <c r="M737" s="3" t="str">
        <f>HYPERLINK("..\..\Imagery\ScannedPhotos\1981\CG81-306.29.jpg")</f>
        <v>..\..\Imagery\ScannedPhotos\1981\CG81-306.29.jpg</v>
      </c>
    </row>
    <row r="738" spans="1:13" x14ac:dyDescent="0.25">
      <c r="A738" t="s">
        <v>2086</v>
      </c>
      <c r="B738">
        <v>501252</v>
      </c>
      <c r="C738">
        <v>5943268</v>
      </c>
      <c r="D738">
        <v>21</v>
      </c>
      <c r="E738" t="s">
        <v>15</v>
      </c>
      <c r="F738" t="s">
        <v>2087</v>
      </c>
      <c r="G738">
        <v>1</v>
      </c>
      <c r="K738" t="s">
        <v>56</v>
      </c>
      <c r="L738" t="s">
        <v>2088</v>
      </c>
      <c r="M738" s="3" t="str">
        <f>HYPERLINK("..\..\Imagery\ScannedPhotos\2004\CG04-238.jpg")</f>
        <v>..\..\Imagery\ScannedPhotos\2004\CG04-238.jpg</v>
      </c>
    </row>
    <row r="739" spans="1:13" x14ac:dyDescent="0.25">
      <c r="A739" t="s">
        <v>2089</v>
      </c>
      <c r="B739">
        <v>503654</v>
      </c>
      <c r="C739">
        <v>5942041</v>
      </c>
      <c r="D739">
        <v>21</v>
      </c>
      <c r="E739" t="s">
        <v>15</v>
      </c>
      <c r="F739" t="s">
        <v>2090</v>
      </c>
      <c r="G739">
        <v>1</v>
      </c>
      <c r="K739" t="s">
        <v>228</v>
      </c>
      <c r="L739" t="s">
        <v>2091</v>
      </c>
      <c r="M739" s="3" t="str">
        <f>HYPERLINK("..\..\Imagery\ScannedPhotos\2004\CG04-242.jpg")</f>
        <v>..\..\Imagery\ScannedPhotos\2004\CG04-242.jpg</v>
      </c>
    </row>
    <row r="740" spans="1:13" x14ac:dyDescent="0.25">
      <c r="A740" t="s">
        <v>2092</v>
      </c>
      <c r="B740">
        <v>503748</v>
      </c>
      <c r="C740">
        <v>5941919</v>
      </c>
      <c r="D740">
        <v>21</v>
      </c>
      <c r="E740" t="s">
        <v>15</v>
      </c>
      <c r="F740" t="s">
        <v>2093</v>
      </c>
      <c r="G740">
        <v>1</v>
      </c>
      <c r="K740" t="s">
        <v>20</v>
      </c>
      <c r="L740" t="s">
        <v>2094</v>
      </c>
      <c r="M740" s="3" t="str">
        <f>HYPERLINK("..\..\Imagery\ScannedPhotos\2004\CG04-243.jpg")</f>
        <v>..\..\Imagery\ScannedPhotos\2004\CG04-243.jpg</v>
      </c>
    </row>
    <row r="741" spans="1:13" x14ac:dyDescent="0.25">
      <c r="A741" t="s">
        <v>922</v>
      </c>
      <c r="B741">
        <v>503961</v>
      </c>
      <c r="C741">
        <v>5941547</v>
      </c>
      <c r="D741">
        <v>21</v>
      </c>
      <c r="E741" t="s">
        <v>15</v>
      </c>
      <c r="F741" t="s">
        <v>2095</v>
      </c>
      <c r="G741">
        <v>7</v>
      </c>
      <c r="K741" t="s">
        <v>56</v>
      </c>
      <c r="L741" t="s">
        <v>2096</v>
      </c>
      <c r="M741" s="3" t="str">
        <f>HYPERLINK("..\..\Imagery\ScannedPhotos\2004\CG04-245.1.jpg")</f>
        <v>..\..\Imagery\ScannedPhotos\2004\CG04-245.1.jpg</v>
      </c>
    </row>
    <row r="742" spans="1:13" x14ac:dyDescent="0.25">
      <c r="A742" t="s">
        <v>2097</v>
      </c>
      <c r="B742">
        <v>538258</v>
      </c>
      <c r="C742">
        <v>5794495</v>
      </c>
      <c r="D742">
        <v>21</v>
      </c>
      <c r="E742" t="s">
        <v>15</v>
      </c>
      <c r="F742" t="s">
        <v>2098</v>
      </c>
      <c r="G742">
        <v>5</v>
      </c>
      <c r="H742" t="s">
        <v>2099</v>
      </c>
      <c r="J742" t="s">
        <v>48</v>
      </c>
      <c r="K742" t="s">
        <v>20</v>
      </c>
      <c r="L742" t="s">
        <v>2100</v>
      </c>
      <c r="M742" s="3" t="str">
        <f>HYPERLINK("..\..\Imagery\ScannedPhotos\1987\CG87-105.4.jpg")</f>
        <v>..\..\Imagery\ScannedPhotos\1987\CG87-105.4.jpg</v>
      </c>
    </row>
    <row r="743" spans="1:13" x14ac:dyDescent="0.25">
      <c r="A743" t="s">
        <v>2101</v>
      </c>
      <c r="B743">
        <v>539856</v>
      </c>
      <c r="C743">
        <v>5784579</v>
      </c>
      <c r="D743">
        <v>21</v>
      </c>
      <c r="E743" t="s">
        <v>15</v>
      </c>
      <c r="F743" t="s">
        <v>2102</v>
      </c>
      <c r="G743">
        <v>1</v>
      </c>
      <c r="H743" t="s">
        <v>69</v>
      </c>
      <c r="J743" t="s">
        <v>48</v>
      </c>
      <c r="K743" t="s">
        <v>228</v>
      </c>
      <c r="L743" t="s">
        <v>2103</v>
      </c>
      <c r="M743" s="3" t="str">
        <f>HYPERLINK("..\..\Imagery\ScannedPhotos\1987\CG87-119.jpg")</f>
        <v>..\..\Imagery\ScannedPhotos\1987\CG87-119.jpg</v>
      </c>
    </row>
    <row r="744" spans="1:13" x14ac:dyDescent="0.25">
      <c r="A744" t="s">
        <v>2104</v>
      </c>
      <c r="B744">
        <v>528801</v>
      </c>
      <c r="C744">
        <v>5773005</v>
      </c>
      <c r="D744">
        <v>21</v>
      </c>
      <c r="E744" t="s">
        <v>15</v>
      </c>
      <c r="F744" t="s">
        <v>2105</v>
      </c>
      <c r="G744">
        <v>2</v>
      </c>
      <c r="H744" t="s">
        <v>2106</v>
      </c>
      <c r="I744" t="s">
        <v>386</v>
      </c>
      <c r="J744" t="s">
        <v>2107</v>
      </c>
      <c r="K744" t="s">
        <v>56</v>
      </c>
      <c r="L744" t="s">
        <v>2108</v>
      </c>
      <c r="M744" s="3" t="str">
        <f>HYPERLINK("..\..\Imagery\ScannedPhotos\1987\CG87-127.1.jpg")</f>
        <v>..\..\Imagery\ScannedPhotos\1987\CG87-127.1.jpg</v>
      </c>
    </row>
    <row r="745" spans="1:13" x14ac:dyDescent="0.25">
      <c r="A745" t="s">
        <v>2109</v>
      </c>
      <c r="B745">
        <v>425137</v>
      </c>
      <c r="C745">
        <v>5893068</v>
      </c>
      <c r="D745">
        <v>21</v>
      </c>
      <c r="E745" t="s">
        <v>15</v>
      </c>
      <c r="F745" t="s">
        <v>2110</v>
      </c>
      <c r="G745">
        <v>1</v>
      </c>
      <c r="H745" t="s">
        <v>754</v>
      </c>
      <c r="I745" t="s">
        <v>69</v>
      </c>
      <c r="J745" t="s">
        <v>563</v>
      </c>
      <c r="K745" t="s">
        <v>20</v>
      </c>
      <c r="L745" t="s">
        <v>2111</v>
      </c>
      <c r="M745" s="3" t="str">
        <f>HYPERLINK("..\..\Imagery\ScannedPhotos\1995\CG95-016.jpg")</f>
        <v>..\..\Imagery\ScannedPhotos\1995\CG95-016.jpg</v>
      </c>
    </row>
    <row r="746" spans="1:13" x14ac:dyDescent="0.25">
      <c r="A746" t="s">
        <v>2112</v>
      </c>
      <c r="B746">
        <v>417590</v>
      </c>
      <c r="C746">
        <v>5875677</v>
      </c>
      <c r="D746">
        <v>21</v>
      </c>
      <c r="E746" t="s">
        <v>15</v>
      </c>
      <c r="F746" t="s">
        <v>2113</v>
      </c>
      <c r="G746">
        <v>1</v>
      </c>
      <c r="H746" t="s">
        <v>754</v>
      </c>
      <c r="I746" t="s">
        <v>74</v>
      </c>
      <c r="J746" t="s">
        <v>563</v>
      </c>
      <c r="K746" t="s">
        <v>20</v>
      </c>
      <c r="L746" t="s">
        <v>2114</v>
      </c>
      <c r="M746" s="3" t="str">
        <f>HYPERLINK("..\..\Imagery\ScannedPhotos\1995\CG95-021.jpg")</f>
        <v>..\..\Imagery\ScannedPhotos\1995\CG95-021.jpg</v>
      </c>
    </row>
    <row r="747" spans="1:13" x14ac:dyDescent="0.25">
      <c r="A747" t="s">
        <v>2115</v>
      </c>
      <c r="B747">
        <v>417454</v>
      </c>
      <c r="C747">
        <v>5899628</v>
      </c>
      <c r="D747">
        <v>21</v>
      </c>
      <c r="E747" t="s">
        <v>15</v>
      </c>
      <c r="F747" t="s">
        <v>2116</v>
      </c>
      <c r="G747">
        <v>1</v>
      </c>
      <c r="H747" t="s">
        <v>754</v>
      </c>
      <c r="I747" t="s">
        <v>41</v>
      </c>
      <c r="J747" t="s">
        <v>563</v>
      </c>
      <c r="K747" t="s">
        <v>20</v>
      </c>
      <c r="L747" t="s">
        <v>2117</v>
      </c>
      <c r="M747" s="3" t="str">
        <f>HYPERLINK("..\..\Imagery\ScannedPhotos\1995\CG95-035.jpg")</f>
        <v>..\..\Imagery\ScannedPhotos\1995\CG95-035.jpg</v>
      </c>
    </row>
    <row r="748" spans="1:13" x14ac:dyDescent="0.25">
      <c r="A748" t="s">
        <v>2118</v>
      </c>
      <c r="B748">
        <v>431816</v>
      </c>
      <c r="C748">
        <v>5924682</v>
      </c>
      <c r="D748">
        <v>21</v>
      </c>
      <c r="E748" t="s">
        <v>15</v>
      </c>
      <c r="F748" t="s">
        <v>2119</v>
      </c>
      <c r="G748">
        <v>1</v>
      </c>
      <c r="H748" t="s">
        <v>754</v>
      </c>
      <c r="I748" t="s">
        <v>85</v>
      </c>
      <c r="J748" t="s">
        <v>563</v>
      </c>
      <c r="K748" t="s">
        <v>20</v>
      </c>
      <c r="L748" t="s">
        <v>2120</v>
      </c>
      <c r="M748" s="3" t="str">
        <f>HYPERLINK("..\..\Imagery\ScannedPhotos\1995\CG95-052.jpg")</f>
        <v>..\..\Imagery\ScannedPhotos\1995\CG95-052.jpg</v>
      </c>
    </row>
    <row r="749" spans="1:13" x14ac:dyDescent="0.25">
      <c r="A749" t="s">
        <v>2121</v>
      </c>
      <c r="B749">
        <v>430027</v>
      </c>
      <c r="C749">
        <v>5925996</v>
      </c>
      <c r="D749">
        <v>21</v>
      </c>
      <c r="E749" t="s">
        <v>15</v>
      </c>
      <c r="F749" t="s">
        <v>2122</v>
      </c>
      <c r="G749">
        <v>1</v>
      </c>
      <c r="H749" t="s">
        <v>754</v>
      </c>
      <c r="I749" t="s">
        <v>375</v>
      </c>
      <c r="J749" t="s">
        <v>563</v>
      </c>
      <c r="K749" t="s">
        <v>20</v>
      </c>
      <c r="L749" t="s">
        <v>2123</v>
      </c>
      <c r="M749" s="3" t="str">
        <f>HYPERLINK("..\..\Imagery\ScannedPhotos\1995\CG95-055.jpg")</f>
        <v>..\..\Imagery\ScannedPhotos\1995\CG95-055.jpg</v>
      </c>
    </row>
    <row r="750" spans="1:13" x14ac:dyDescent="0.25">
      <c r="A750" t="s">
        <v>2124</v>
      </c>
      <c r="B750">
        <v>491738</v>
      </c>
      <c r="C750">
        <v>5950551</v>
      </c>
      <c r="D750">
        <v>21</v>
      </c>
      <c r="E750" t="s">
        <v>15</v>
      </c>
      <c r="F750" t="s">
        <v>2125</v>
      </c>
      <c r="G750">
        <v>3</v>
      </c>
      <c r="H750" t="s">
        <v>113</v>
      </c>
      <c r="I750" t="s">
        <v>69</v>
      </c>
      <c r="J750" t="s">
        <v>115</v>
      </c>
      <c r="K750" t="s">
        <v>20</v>
      </c>
      <c r="L750" t="s">
        <v>2126</v>
      </c>
      <c r="M750" s="3" t="str">
        <f>HYPERLINK("..\..\Imagery\ScannedPhotos\1977\MC77-040.1.jpg")</f>
        <v>..\..\Imagery\ScannedPhotos\1977\MC77-040.1.jpg</v>
      </c>
    </row>
    <row r="751" spans="1:13" x14ac:dyDescent="0.25">
      <c r="A751" t="s">
        <v>32</v>
      </c>
      <c r="B751">
        <v>596446</v>
      </c>
      <c r="C751">
        <v>5792950</v>
      </c>
      <c r="D751">
        <v>21</v>
      </c>
      <c r="E751" t="s">
        <v>15</v>
      </c>
      <c r="F751" t="s">
        <v>2127</v>
      </c>
      <c r="G751">
        <v>40</v>
      </c>
      <c r="H751" t="s">
        <v>34</v>
      </c>
      <c r="I751" t="s">
        <v>281</v>
      </c>
      <c r="J751" t="s">
        <v>36</v>
      </c>
      <c r="K751" t="s">
        <v>20</v>
      </c>
      <c r="L751" t="s">
        <v>37</v>
      </c>
      <c r="M751" s="3" t="str">
        <f>HYPERLINK("..\..\Imagery\ScannedPhotos\1987\CG87-488.14.jpg")</f>
        <v>..\..\Imagery\ScannedPhotos\1987\CG87-488.14.jpg</v>
      </c>
    </row>
    <row r="752" spans="1:13" x14ac:dyDescent="0.25">
      <c r="A752" t="s">
        <v>2128</v>
      </c>
      <c r="B752">
        <v>500892</v>
      </c>
      <c r="C752">
        <v>5835505</v>
      </c>
      <c r="D752">
        <v>21</v>
      </c>
      <c r="E752" t="s">
        <v>15</v>
      </c>
      <c r="F752" t="s">
        <v>2129</v>
      </c>
      <c r="G752">
        <v>1</v>
      </c>
      <c r="H752" t="s">
        <v>2130</v>
      </c>
      <c r="I752" t="s">
        <v>74</v>
      </c>
      <c r="J752" t="s">
        <v>300</v>
      </c>
      <c r="K752" t="s">
        <v>20</v>
      </c>
      <c r="L752" t="s">
        <v>2131</v>
      </c>
      <c r="M752" s="3" t="str">
        <f>HYPERLINK("..\..\Imagery\ScannedPhotos\1986\JS86-272.jpg")</f>
        <v>..\..\Imagery\ScannedPhotos\1986\JS86-272.jpg</v>
      </c>
    </row>
    <row r="753" spans="1:13" x14ac:dyDescent="0.25">
      <c r="A753" t="s">
        <v>2132</v>
      </c>
      <c r="B753">
        <v>508712</v>
      </c>
      <c r="C753">
        <v>5828230</v>
      </c>
      <c r="D753">
        <v>21</v>
      </c>
      <c r="E753" t="s">
        <v>15</v>
      </c>
      <c r="F753" t="s">
        <v>2133</v>
      </c>
      <c r="G753">
        <v>2</v>
      </c>
      <c r="H753" t="s">
        <v>2130</v>
      </c>
      <c r="I753" t="s">
        <v>41</v>
      </c>
      <c r="J753" t="s">
        <v>300</v>
      </c>
      <c r="K753" t="s">
        <v>56</v>
      </c>
      <c r="L753" t="s">
        <v>2134</v>
      </c>
      <c r="M753" s="3" t="str">
        <f>HYPERLINK("..\..\Imagery\ScannedPhotos\1986\JS86-295.1.jpg")</f>
        <v>..\..\Imagery\ScannedPhotos\1986\JS86-295.1.jpg</v>
      </c>
    </row>
    <row r="754" spans="1:13" x14ac:dyDescent="0.25">
      <c r="A754" t="s">
        <v>2132</v>
      </c>
      <c r="B754">
        <v>508712</v>
      </c>
      <c r="C754">
        <v>5828230</v>
      </c>
      <c r="D754">
        <v>21</v>
      </c>
      <c r="E754" t="s">
        <v>15</v>
      </c>
      <c r="F754" t="s">
        <v>2135</v>
      </c>
      <c r="G754">
        <v>2</v>
      </c>
      <c r="H754" t="s">
        <v>2130</v>
      </c>
      <c r="I754" t="s">
        <v>85</v>
      </c>
      <c r="J754" t="s">
        <v>300</v>
      </c>
      <c r="K754" t="s">
        <v>20</v>
      </c>
      <c r="L754" t="s">
        <v>2134</v>
      </c>
      <c r="M754" s="3" t="str">
        <f>HYPERLINK("..\..\Imagery\ScannedPhotos\1986\JS86-295.2.jpg")</f>
        <v>..\..\Imagery\ScannedPhotos\1986\JS86-295.2.jpg</v>
      </c>
    </row>
    <row r="755" spans="1:13" x14ac:dyDescent="0.25">
      <c r="A755" t="s">
        <v>2136</v>
      </c>
      <c r="B755">
        <v>458283</v>
      </c>
      <c r="C755">
        <v>6025350</v>
      </c>
      <c r="D755">
        <v>21</v>
      </c>
      <c r="E755" t="s">
        <v>15</v>
      </c>
      <c r="F755" t="s">
        <v>2137</v>
      </c>
      <c r="G755">
        <v>3</v>
      </c>
      <c r="H755" t="s">
        <v>1862</v>
      </c>
      <c r="I755" t="s">
        <v>69</v>
      </c>
      <c r="J755" t="s">
        <v>1863</v>
      </c>
      <c r="K755" t="s">
        <v>56</v>
      </c>
      <c r="L755" t="s">
        <v>2138</v>
      </c>
      <c r="M755" s="3" t="str">
        <f>HYPERLINK("..\..\Imagery\ScannedPhotos\1979\CG79-786.2.jpg")</f>
        <v>..\..\Imagery\ScannedPhotos\1979\CG79-786.2.jpg</v>
      </c>
    </row>
    <row r="756" spans="1:13" x14ac:dyDescent="0.25">
      <c r="A756" t="s">
        <v>2136</v>
      </c>
      <c r="B756">
        <v>458283</v>
      </c>
      <c r="C756">
        <v>6025350</v>
      </c>
      <c r="D756">
        <v>21</v>
      </c>
      <c r="E756" t="s">
        <v>15</v>
      </c>
      <c r="F756" t="s">
        <v>2139</v>
      </c>
      <c r="G756">
        <v>3</v>
      </c>
      <c r="H756" t="s">
        <v>1862</v>
      </c>
      <c r="I756" t="s">
        <v>18</v>
      </c>
      <c r="J756" t="s">
        <v>1863</v>
      </c>
      <c r="K756" t="s">
        <v>20</v>
      </c>
      <c r="L756" t="s">
        <v>2140</v>
      </c>
      <c r="M756" s="3" t="str">
        <f>HYPERLINK("..\..\Imagery\ScannedPhotos\1979\CG79-786.1.jpg")</f>
        <v>..\..\Imagery\ScannedPhotos\1979\CG79-786.1.jpg</v>
      </c>
    </row>
    <row r="757" spans="1:13" x14ac:dyDescent="0.25">
      <c r="A757" t="s">
        <v>2141</v>
      </c>
      <c r="B757">
        <v>545790</v>
      </c>
      <c r="C757">
        <v>5736000</v>
      </c>
      <c r="D757">
        <v>21</v>
      </c>
      <c r="E757" t="s">
        <v>15</v>
      </c>
      <c r="F757" t="s">
        <v>2142</v>
      </c>
      <c r="G757">
        <v>2</v>
      </c>
      <c r="H757" t="s">
        <v>1076</v>
      </c>
      <c r="I757" t="s">
        <v>126</v>
      </c>
      <c r="J757" t="s">
        <v>570</v>
      </c>
      <c r="K757" t="s">
        <v>20</v>
      </c>
      <c r="L757" t="s">
        <v>2143</v>
      </c>
      <c r="M757" s="3" t="str">
        <f>HYPERLINK("..\..\Imagery\ScannedPhotos\1993\CG93-297.1.jpg")</f>
        <v>..\..\Imagery\ScannedPhotos\1993\CG93-297.1.jpg</v>
      </c>
    </row>
    <row r="758" spans="1:13" x14ac:dyDescent="0.25">
      <c r="A758" t="s">
        <v>2144</v>
      </c>
      <c r="B758">
        <v>481662</v>
      </c>
      <c r="C758">
        <v>5824713</v>
      </c>
      <c r="D758">
        <v>21</v>
      </c>
      <c r="E758" t="s">
        <v>15</v>
      </c>
      <c r="F758" t="s">
        <v>2145</v>
      </c>
      <c r="G758">
        <v>7</v>
      </c>
      <c r="H758" t="s">
        <v>40</v>
      </c>
      <c r="I758" t="s">
        <v>30</v>
      </c>
      <c r="J758" t="s">
        <v>42</v>
      </c>
      <c r="K758" t="s">
        <v>20</v>
      </c>
      <c r="L758" t="s">
        <v>2146</v>
      </c>
      <c r="M758" s="3" t="str">
        <f>HYPERLINK("..\..\Imagery\ScannedPhotos\1991\DD91-055.6.jpg")</f>
        <v>..\..\Imagery\ScannedPhotos\1991\DD91-055.6.jpg</v>
      </c>
    </row>
    <row r="759" spans="1:13" x14ac:dyDescent="0.25">
      <c r="A759" t="s">
        <v>2144</v>
      </c>
      <c r="B759">
        <v>481662</v>
      </c>
      <c r="C759">
        <v>5824713</v>
      </c>
      <c r="D759">
        <v>21</v>
      </c>
      <c r="E759" t="s">
        <v>15</v>
      </c>
      <c r="F759" t="s">
        <v>2147</v>
      </c>
      <c r="G759">
        <v>7</v>
      </c>
      <c r="H759" t="s">
        <v>40</v>
      </c>
      <c r="I759" t="s">
        <v>647</v>
      </c>
      <c r="J759" t="s">
        <v>42</v>
      </c>
      <c r="K759" t="s">
        <v>20</v>
      </c>
      <c r="L759" t="s">
        <v>2146</v>
      </c>
      <c r="M759" s="3" t="str">
        <f>HYPERLINK("..\..\Imagery\ScannedPhotos\1991\DD91-055.5.jpg")</f>
        <v>..\..\Imagery\ScannedPhotos\1991\DD91-055.5.jpg</v>
      </c>
    </row>
    <row r="760" spans="1:13" x14ac:dyDescent="0.25">
      <c r="A760" t="s">
        <v>2144</v>
      </c>
      <c r="B760">
        <v>481662</v>
      </c>
      <c r="C760">
        <v>5824713</v>
      </c>
      <c r="D760">
        <v>21</v>
      </c>
      <c r="E760" t="s">
        <v>15</v>
      </c>
      <c r="F760" t="s">
        <v>2148</v>
      </c>
      <c r="G760">
        <v>7</v>
      </c>
      <c r="H760" t="s">
        <v>40</v>
      </c>
      <c r="I760" t="s">
        <v>360</v>
      </c>
      <c r="J760" t="s">
        <v>42</v>
      </c>
      <c r="K760" t="s">
        <v>20</v>
      </c>
      <c r="L760" t="s">
        <v>322</v>
      </c>
      <c r="M760" s="3" t="str">
        <f>HYPERLINK("..\..\Imagery\ScannedPhotos\1991\DD91-055.4.jpg")</f>
        <v>..\..\Imagery\ScannedPhotos\1991\DD91-055.4.jpg</v>
      </c>
    </row>
    <row r="761" spans="1:13" x14ac:dyDescent="0.25">
      <c r="A761" t="s">
        <v>2144</v>
      </c>
      <c r="B761">
        <v>481662</v>
      </c>
      <c r="C761">
        <v>5824713</v>
      </c>
      <c r="D761">
        <v>21</v>
      </c>
      <c r="E761" t="s">
        <v>15</v>
      </c>
      <c r="F761" t="s">
        <v>2149</v>
      </c>
      <c r="G761">
        <v>7</v>
      </c>
      <c r="H761" t="s">
        <v>40</v>
      </c>
      <c r="I761" t="s">
        <v>25</v>
      </c>
      <c r="J761" t="s">
        <v>42</v>
      </c>
      <c r="K761" t="s">
        <v>20</v>
      </c>
      <c r="L761" t="s">
        <v>322</v>
      </c>
      <c r="M761" s="3" t="str">
        <f>HYPERLINK("..\..\Imagery\ScannedPhotos\1991\DD91-055.3.jpg")</f>
        <v>..\..\Imagery\ScannedPhotos\1991\DD91-055.3.jpg</v>
      </c>
    </row>
    <row r="762" spans="1:13" x14ac:dyDescent="0.25">
      <c r="A762" t="s">
        <v>2150</v>
      </c>
      <c r="B762">
        <v>572815</v>
      </c>
      <c r="C762">
        <v>5876898</v>
      </c>
      <c r="D762">
        <v>21</v>
      </c>
      <c r="E762" t="s">
        <v>15</v>
      </c>
      <c r="F762" t="s">
        <v>2151</v>
      </c>
      <c r="G762">
        <v>6</v>
      </c>
      <c r="H762" t="s">
        <v>1507</v>
      </c>
      <c r="I762" t="s">
        <v>69</v>
      </c>
      <c r="J762" t="s">
        <v>1508</v>
      </c>
      <c r="K762" t="s">
        <v>20</v>
      </c>
      <c r="L762" t="s">
        <v>2152</v>
      </c>
      <c r="M762" s="3" t="str">
        <f>HYPERLINK("..\..\Imagery\ScannedPhotos\1985\GM85-476.1.jpg")</f>
        <v>..\..\Imagery\ScannedPhotos\1985\GM85-476.1.jpg</v>
      </c>
    </row>
    <row r="763" spans="1:13" x14ac:dyDescent="0.25">
      <c r="A763" t="s">
        <v>2153</v>
      </c>
      <c r="B763">
        <v>445567</v>
      </c>
      <c r="C763">
        <v>5769871</v>
      </c>
      <c r="D763">
        <v>21</v>
      </c>
      <c r="E763" t="s">
        <v>15</v>
      </c>
      <c r="F763" t="s">
        <v>2154</v>
      </c>
      <c r="G763">
        <v>3</v>
      </c>
      <c r="H763" t="s">
        <v>1107</v>
      </c>
      <c r="I763" t="s">
        <v>647</v>
      </c>
      <c r="J763" t="s">
        <v>747</v>
      </c>
      <c r="K763" t="s">
        <v>56</v>
      </c>
      <c r="L763" t="s">
        <v>2155</v>
      </c>
      <c r="M763" s="3" t="str">
        <f>HYPERLINK("..\..\Imagery\ScannedPhotos\1992\CG92-145.3.jpg")</f>
        <v>..\..\Imagery\ScannedPhotos\1992\CG92-145.3.jpg</v>
      </c>
    </row>
    <row r="764" spans="1:13" x14ac:dyDescent="0.25">
      <c r="A764" t="s">
        <v>2156</v>
      </c>
      <c r="B764">
        <v>377205</v>
      </c>
      <c r="C764">
        <v>5973092</v>
      </c>
      <c r="D764">
        <v>21</v>
      </c>
      <c r="E764" t="s">
        <v>15</v>
      </c>
      <c r="F764" t="s">
        <v>2157</v>
      </c>
      <c r="G764">
        <v>2</v>
      </c>
      <c r="H764" t="s">
        <v>1424</v>
      </c>
      <c r="I764" t="s">
        <v>147</v>
      </c>
      <c r="J764" t="s">
        <v>623</v>
      </c>
      <c r="K764" t="s">
        <v>20</v>
      </c>
      <c r="L764" t="s">
        <v>2158</v>
      </c>
      <c r="M764" s="3" t="str">
        <f>HYPERLINK("..\..\Imagery\ScannedPhotos\1980\NN80-144.2.jpg")</f>
        <v>..\..\Imagery\ScannedPhotos\1980\NN80-144.2.jpg</v>
      </c>
    </row>
    <row r="765" spans="1:13" x14ac:dyDescent="0.25">
      <c r="A765" t="s">
        <v>2156</v>
      </c>
      <c r="B765">
        <v>377205</v>
      </c>
      <c r="C765">
        <v>5973092</v>
      </c>
      <c r="D765">
        <v>21</v>
      </c>
      <c r="E765" t="s">
        <v>15</v>
      </c>
      <c r="F765" t="s">
        <v>2159</v>
      </c>
      <c r="G765">
        <v>2</v>
      </c>
      <c r="H765" t="s">
        <v>1424</v>
      </c>
      <c r="I765" t="s">
        <v>143</v>
      </c>
      <c r="J765" t="s">
        <v>623</v>
      </c>
      <c r="K765" t="s">
        <v>20</v>
      </c>
      <c r="L765" t="s">
        <v>2160</v>
      </c>
      <c r="M765" s="3" t="str">
        <f>HYPERLINK("..\..\Imagery\ScannedPhotos\1980\NN80-144.1.jpg")</f>
        <v>..\..\Imagery\ScannedPhotos\1980\NN80-144.1.jpg</v>
      </c>
    </row>
    <row r="766" spans="1:13" x14ac:dyDescent="0.25">
      <c r="A766" t="s">
        <v>2161</v>
      </c>
      <c r="B766">
        <v>520521</v>
      </c>
      <c r="C766">
        <v>5716441</v>
      </c>
      <c r="D766">
        <v>21</v>
      </c>
      <c r="E766" t="s">
        <v>15</v>
      </c>
      <c r="F766" t="s">
        <v>2162</v>
      </c>
      <c r="G766">
        <v>2</v>
      </c>
      <c r="H766" t="s">
        <v>569</v>
      </c>
      <c r="I766" t="s">
        <v>360</v>
      </c>
      <c r="J766" t="s">
        <v>570</v>
      </c>
      <c r="K766" t="s">
        <v>56</v>
      </c>
      <c r="L766" t="s">
        <v>2163</v>
      </c>
      <c r="M766" s="3" t="str">
        <f>HYPERLINK("..\..\Imagery\ScannedPhotos\1993\CG93-247.1.jpg")</f>
        <v>..\..\Imagery\ScannedPhotos\1993\CG93-247.1.jpg</v>
      </c>
    </row>
    <row r="767" spans="1:13" x14ac:dyDescent="0.25">
      <c r="A767" t="s">
        <v>2161</v>
      </c>
      <c r="B767">
        <v>520521</v>
      </c>
      <c r="C767">
        <v>5716441</v>
      </c>
      <c r="D767">
        <v>21</v>
      </c>
      <c r="E767" t="s">
        <v>15</v>
      </c>
      <c r="F767" t="s">
        <v>2164</v>
      </c>
      <c r="G767">
        <v>2</v>
      </c>
      <c r="H767" t="s">
        <v>569</v>
      </c>
      <c r="I767" t="s">
        <v>647</v>
      </c>
      <c r="J767" t="s">
        <v>570</v>
      </c>
      <c r="K767" t="s">
        <v>56</v>
      </c>
      <c r="L767" t="s">
        <v>593</v>
      </c>
      <c r="M767" s="3" t="str">
        <f>HYPERLINK("..\..\Imagery\ScannedPhotos\1993\CG93-247.2.jpg")</f>
        <v>..\..\Imagery\ScannedPhotos\1993\CG93-247.2.jpg</v>
      </c>
    </row>
    <row r="768" spans="1:13" x14ac:dyDescent="0.25">
      <c r="A768" t="s">
        <v>2165</v>
      </c>
      <c r="B768">
        <v>520526</v>
      </c>
      <c r="C768">
        <v>5716234</v>
      </c>
      <c r="D768">
        <v>21</v>
      </c>
      <c r="E768" t="s">
        <v>15</v>
      </c>
      <c r="F768" t="s">
        <v>2166</v>
      </c>
      <c r="G768">
        <v>1</v>
      </c>
      <c r="H768" t="s">
        <v>569</v>
      </c>
      <c r="I768" t="s">
        <v>30</v>
      </c>
      <c r="J768" t="s">
        <v>570</v>
      </c>
      <c r="K768" t="s">
        <v>20</v>
      </c>
      <c r="L768" t="s">
        <v>2167</v>
      </c>
      <c r="M768" s="3" t="str">
        <f>HYPERLINK("..\..\Imagery\ScannedPhotos\1993\CG93-248.jpg")</f>
        <v>..\..\Imagery\ScannedPhotos\1993\CG93-248.jpg</v>
      </c>
    </row>
    <row r="769" spans="1:13" x14ac:dyDescent="0.25">
      <c r="A769" t="s">
        <v>2168</v>
      </c>
      <c r="B769">
        <v>520458</v>
      </c>
      <c r="C769">
        <v>5716048</v>
      </c>
      <c r="D769">
        <v>21</v>
      </c>
      <c r="E769" t="s">
        <v>15</v>
      </c>
      <c r="F769" t="s">
        <v>2169</v>
      </c>
      <c r="G769">
        <v>2</v>
      </c>
      <c r="H769" t="s">
        <v>569</v>
      </c>
      <c r="I769" t="s">
        <v>114</v>
      </c>
      <c r="J769" t="s">
        <v>570</v>
      </c>
      <c r="K769" t="s">
        <v>20</v>
      </c>
      <c r="L769" t="s">
        <v>2170</v>
      </c>
      <c r="M769" s="3" t="str">
        <f>HYPERLINK("..\..\Imagery\ScannedPhotos\1993\CG93-249.1.jpg")</f>
        <v>..\..\Imagery\ScannedPhotos\1993\CG93-249.1.jpg</v>
      </c>
    </row>
    <row r="770" spans="1:13" x14ac:dyDescent="0.25">
      <c r="A770" t="s">
        <v>2171</v>
      </c>
      <c r="B770">
        <v>495142</v>
      </c>
      <c r="C770">
        <v>5857923</v>
      </c>
      <c r="D770">
        <v>21</v>
      </c>
      <c r="E770" t="s">
        <v>15</v>
      </c>
      <c r="F770" t="s">
        <v>2172</v>
      </c>
      <c r="G770">
        <v>2</v>
      </c>
      <c r="H770" t="s">
        <v>616</v>
      </c>
      <c r="I770" t="s">
        <v>30</v>
      </c>
      <c r="J770" t="s">
        <v>413</v>
      </c>
      <c r="K770" t="s">
        <v>20</v>
      </c>
      <c r="L770" t="s">
        <v>2173</v>
      </c>
      <c r="M770" s="3" t="str">
        <f>HYPERLINK("..\..\Imagery\ScannedPhotos\1991\DD91-039.2.jpg")</f>
        <v>..\..\Imagery\ScannedPhotos\1991\DD91-039.2.jpg</v>
      </c>
    </row>
    <row r="771" spans="1:13" x14ac:dyDescent="0.25">
      <c r="A771" t="s">
        <v>2174</v>
      </c>
      <c r="B771">
        <v>492050</v>
      </c>
      <c r="C771">
        <v>5847575</v>
      </c>
      <c r="D771">
        <v>21</v>
      </c>
      <c r="E771" t="s">
        <v>15</v>
      </c>
      <c r="F771" t="s">
        <v>2175</v>
      </c>
      <c r="G771">
        <v>1</v>
      </c>
      <c r="H771" t="s">
        <v>616</v>
      </c>
      <c r="I771" t="s">
        <v>114</v>
      </c>
      <c r="J771" t="s">
        <v>413</v>
      </c>
      <c r="K771" t="s">
        <v>20</v>
      </c>
      <c r="L771" t="s">
        <v>2176</v>
      </c>
      <c r="M771" s="3" t="str">
        <f>HYPERLINK("..\..\Imagery\ScannedPhotos\1991\DD91-040.jpg")</f>
        <v>..\..\Imagery\ScannedPhotos\1991\DD91-040.jpg</v>
      </c>
    </row>
    <row r="772" spans="1:13" x14ac:dyDescent="0.25">
      <c r="A772" t="s">
        <v>2177</v>
      </c>
      <c r="B772">
        <v>491225</v>
      </c>
      <c r="C772">
        <v>5844144</v>
      </c>
      <c r="D772">
        <v>21</v>
      </c>
      <c r="E772" t="s">
        <v>15</v>
      </c>
      <c r="F772" t="s">
        <v>2178</v>
      </c>
      <c r="G772">
        <v>3</v>
      </c>
      <c r="H772" t="s">
        <v>616</v>
      </c>
      <c r="I772" t="s">
        <v>126</v>
      </c>
      <c r="J772" t="s">
        <v>413</v>
      </c>
      <c r="K772" t="s">
        <v>56</v>
      </c>
      <c r="L772" t="s">
        <v>2179</v>
      </c>
      <c r="M772" s="3" t="str">
        <f>HYPERLINK("..\..\Imagery\ScannedPhotos\1991\DD91-044.3.jpg")</f>
        <v>..\..\Imagery\ScannedPhotos\1991\DD91-044.3.jpg</v>
      </c>
    </row>
    <row r="773" spans="1:13" x14ac:dyDescent="0.25">
      <c r="A773" t="s">
        <v>2180</v>
      </c>
      <c r="B773">
        <v>415450</v>
      </c>
      <c r="C773">
        <v>6008000</v>
      </c>
      <c r="D773">
        <v>21</v>
      </c>
      <c r="E773" t="s">
        <v>15</v>
      </c>
      <c r="F773" t="s">
        <v>2181</v>
      </c>
      <c r="G773">
        <v>6</v>
      </c>
      <c r="H773" t="s">
        <v>758</v>
      </c>
      <c r="I773" t="s">
        <v>294</v>
      </c>
      <c r="J773" t="s">
        <v>759</v>
      </c>
      <c r="K773" t="s">
        <v>20</v>
      </c>
      <c r="L773" t="s">
        <v>2182</v>
      </c>
      <c r="M773" s="3" t="str">
        <f>HYPERLINK("..\..\Imagery\ScannedPhotos\1980\RG80-047.1.jpg")</f>
        <v>..\..\Imagery\ScannedPhotos\1980\RG80-047.1.jpg</v>
      </c>
    </row>
    <row r="774" spans="1:13" x14ac:dyDescent="0.25">
      <c r="A774" t="s">
        <v>2180</v>
      </c>
      <c r="B774">
        <v>415450</v>
      </c>
      <c r="C774">
        <v>6008000</v>
      </c>
      <c r="D774">
        <v>21</v>
      </c>
      <c r="E774" t="s">
        <v>15</v>
      </c>
      <c r="F774" t="s">
        <v>2183</v>
      </c>
      <c r="G774">
        <v>6</v>
      </c>
      <c r="H774" t="s">
        <v>1518</v>
      </c>
      <c r="I774" t="s">
        <v>304</v>
      </c>
      <c r="J774" t="s">
        <v>48</v>
      </c>
      <c r="K774" t="s">
        <v>56</v>
      </c>
      <c r="L774" t="s">
        <v>2182</v>
      </c>
      <c r="M774" s="3" t="str">
        <f>HYPERLINK("..\..\Imagery\ScannedPhotos\1980\RG80-047.3.jpg")</f>
        <v>..\..\Imagery\ScannedPhotos\1980\RG80-047.3.jpg</v>
      </c>
    </row>
    <row r="775" spans="1:13" x14ac:dyDescent="0.25">
      <c r="A775" t="s">
        <v>2180</v>
      </c>
      <c r="B775">
        <v>415450</v>
      </c>
      <c r="C775">
        <v>6008000</v>
      </c>
      <c r="D775">
        <v>21</v>
      </c>
      <c r="E775" t="s">
        <v>15</v>
      </c>
      <c r="F775" t="s">
        <v>2184</v>
      </c>
      <c r="G775">
        <v>6</v>
      </c>
      <c r="H775" t="s">
        <v>1518</v>
      </c>
      <c r="I775" t="s">
        <v>25</v>
      </c>
      <c r="J775" t="s">
        <v>48</v>
      </c>
      <c r="K775" t="s">
        <v>20</v>
      </c>
      <c r="L775" t="s">
        <v>2185</v>
      </c>
      <c r="M775" s="3" t="str">
        <f>HYPERLINK("..\..\Imagery\ScannedPhotos\1980\RG80-047.5.jpg")</f>
        <v>..\..\Imagery\ScannedPhotos\1980\RG80-047.5.jpg</v>
      </c>
    </row>
    <row r="776" spans="1:13" x14ac:dyDescent="0.25">
      <c r="A776" t="s">
        <v>809</v>
      </c>
      <c r="B776">
        <v>427350</v>
      </c>
      <c r="C776">
        <v>5778625</v>
      </c>
      <c r="D776">
        <v>21</v>
      </c>
      <c r="E776" t="s">
        <v>15</v>
      </c>
      <c r="F776" t="s">
        <v>2186</v>
      </c>
      <c r="G776">
        <v>3</v>
      </c>
      <c r="H776" t="s">
        <v>766</v>
      </c>
      <c r="I776" t="s">
        <v>74</v>
      </c>
      <c r="J776" t="s">
        <v>767</v>
      </c>
      <c r="K776" t="s">
        <v>20</v>
      </c>
      <c r="L776" t="s">
        <v>811</v>
      </c>
      <c r="M776" s="3" t="str">
        <f>HYPERLINK("..\..\Imagery\ScannedPhotos\1999\CG99-029.2.jpg")</f>
        <v>..\..\Imagery\ScannedPhotos\1999\CG99-029.2.jpg</v>
      </c>
    </row>
    <row r="777" spans="1:13" x14ac:dyDescent="0.25">
      <c r="A777" t="s">
        <v>809</v>
      </c>
      <c r="B777">
        <v>427350</v>
      </c>
      <c r="C777">
        <v>5778625</v>
      </c>
      <c r="D777">
        <v>21</v>
      </c>
      <c r="E777" t="s">
        <v>15</v>
      </c>
      <c r="F777" t="s">
        <v>2187</v>
      </c>
      <c r="G777">
        <v>3</v>
      </c>
      <c r="H777" t="s">
        <v>738</v>
      </c>
      <c r="I777" t="s">
        <v>85</v>
      </c>
      <c r="J777" t="s">
        <v>739</v>
      </c>
      <c r="K777" t="s">
        <v>20</v>
      </c>
      <c r="L777" t="s">
        <v>811</v>
      </c>
      <c r="M777" s="3" t="str">
        <f>HYPERLINK("..\..\Imagery\ScannedPhotos\1999\CG99-029.3.jpg")</f>
        <v>..\..\Imagery\ScannedPhotos\1999\CG99-029.3.jpg</v>
      </c>
    </row>
    <row r="778" spans="1:13" x14ac:dyDescent="0.25">
      <c r="A778" t="s">
        <v>856</v>
      </c>
      <c r="B778">
        <v>490542</v>
      </c>
      <c r="C778">
        <v>5855198</v>
      </c>
      <c r="D778">
        <v>21</v>
      </c>
      <c r="E778" t="s">
        <v>15</v>
      </c>
      <c r="F778" t="s">
        <v>2188</v>
      </c>
      <c r="G778">
        <v>7</v>
      </c>
      <c r="H778" t="s">
        <v>849</v>
      </c>
      <c r="I778" t="s">
        <v>94</v>
      </c>
      <c r="J778" t="s">
        <v>850</v>
      </c>
      <c r="K778" t="s">
        <v>20</v>
      </c>
      <c r="L778" t="s">
        <v>858</v>
      </c>
      <c r="M778" s="3" t="str">
        <f>HYPERLINK("..\..\Imagery\ScannedPhotos\1991\VN91-180.2.jpg")</f>
        <v>..\..\Imagery\ScannedPhotos\1991\VN91-180.2.jpg</v>
      </c>
    </row>
    <row r="779" spans="1:13" x14ac:dyDescent="0.25">
      <c r="A779" t="s">
        <v>2189</v>
      </c>
      <c r="B779">
        <v>374651</v>
      </c>
      <c r="C779">
        <v>6088041</v>
      </c>
      <c r="D779">
        <v>21</v>
      </c>
      <c r="E779" t="s">
        <v>15</v>
      </c>
      <c r="F779" t="s">
        <v>2190</v>
      </c>
      <c r="G779">
        <v>2</v>
      </c>
      <c r="H779" t="s">
        <v>1623</v>
      </c>
      <c r="I779" t="s">
        <v>195</v>
      </c>
      <c r="J779" t="s">
        <v>1624</v>
      </c>
      <c r="K779" t="s">
        <v>20</v>
      </c>
      <c r="L779" t="s">
        <v>2191</v>
      </c>
      <c r="M779" s="3" t="str">
        <f>HYPERLINK("..\..\Imagery\ScannedPhotos\1978\AL78-040.1.jpg")</f>
        <v>..\..\Imagery\ScannedPhotos\1978\AL78-040.1.jpg</v>
      </c>
    </row>
    <row r="780" spans="1:13" x14ac:dyDescent="0.25">
      <c r="A780" t="s">
        <v>2189</v>
      </c>
      <c r="B780">
        <v>374651</v>
      </c>
      <c r="C780">
        <v>6088041</v>
      </c>
      <c r="D780">
        <v>21</v>
      </c>
      <c r="E780" t="s">
        <v>15</v>
      </c>
      <c r="F780" t="s">
        <v>2192</v>
      </c>
      <c r="G780">
        <v>2</v>
      </c>
      <c r="H780" t="s">
        <v>1623</v>
      </c>
      <c r="I780" t="s">
        <v>25</v>
      </c>
      <c r="J780" t="s">
        <v>1624</v>
      </c>
      <c r="K780" t="s">
        <v>56</v>
      </c>
      <c r="L780" t="s">
        <v>2191</v>
      </c>
      <c r="M780" s="3" t="str">
        <f>HYPERLINK("..\..\Imagery\ScannedPhotos\1978\AL78-040.2.jpg")</f>
        <v>..\..\Imagery\ScannedPhotos\1978\AL78-040.2.jpg</v>
      </c>
    </row>
    <row r="781" spans="1:13" x14ac:dyDescent="0.25">
      <c r="A781" t="s">
        <v>2193</v>
      </c>
      <c r="B781">
        <v>568260</v>
      </c>
      <c r="C781">
        <v>5824389</v>
      </c>
      <c r="D781">
        <v>21</v>
      </c>
      <c r="E781" t="s">
        <v>15</v>
      </c>
      <c r="F781" t="s">
        <v>2194</v>
      </c>
      <c r="G781">
        <v>1</v>
      </c>
      <c r="H781" t="s">
        <v>2130</v>
      </c>
      <c r="I781" t="s">
        <v>137</v>
      </c>
      <c r="J781" t="s">
        <v>300</v>
      </c>
      <c r="K781" t="s">
        <v>20</v>
      </c>
      <c r="L781" t="s">
        <v>2195</v>
      </c>
      <c r="M781" s="3" t="str">
        <f>HYPERLINK("..\..\Imagery\ScannedPhotos\1986\JS86-224.jpg")</f>
        <v>..\..\Imagery\ScannedPhotos\1986\JS86-224.jpg</v>
      </c>
    </row>
    <row r="782" spans="1:13" x14ac:dyDescent="0.25">
      <c r="A782" t="s">
        <v>2196</v>
      </c>
      <c r="B782">
        <v>525711</v>
      </c>
      <c r="C782">
        <v>5951185</v>
      </c>
      <c r="D782">
        <v>21</v>
      </c>
      <c r="E782" t="s">
        <v>15</v>
      </c>
      <c r="F782" t="s">
        <v>2197</v>
      </c>
      <c r="G782">
        <v>2</v>
      </c>
      <c r="H782" t="s">
        <v>718</v>
      </c>
      <c r="I782" t="s">
        <v>35</v>
      </c>
      <c r="J782" t="s">
        <v>48</v>
      </c>
      <c r="K782" t="s">
        <v>20</v>
      </c>
      <c r="L782" t="s">
        <v>2198</v>
      </c>
      <c r="M782" s="3" t="str">
        <f>HYPERLINK("..\..\Imagery\ScannedPhotos\1981\VO81-094.1.jpg")</f>
        <v>..\..\Imagery\ScannedPhotos\1981\VO81-094.1.jpg</v>
      </c>
    </row>
    <row r="783" spans="1:13" x14ac:dyDescent="0.25">
      <c r="A783" t="s">
        <v>2196</v>
      </c>
      <c r="B783">
        <v>525711</v>
      </c>
      <c r="C783">
        <v>5951185</v>
      </c>
      <c r="D783">
        <v>21</v>
      </c>
      <c r="E783" t="s">
        <v>15</v>
      </c>
      <c r="F783" t="s">
        <v>2199</v>
      </c>
      <c r="G783">
        <v>2</v>
      </c>
      <c r="H783" t="s">
        <v>718</v>
      </c>
      <c r="I783" t="s">
        <v>69</v>
      </c>
      <c r="J783" t="s">
        <v>48</v>
      </c>
      <c r="K783" t="s">
        <v>20</v>
      </c>
      <c r="L783" t="s">
        <v>2200</v>
      </c>
      <c r="M783" s="3" t="str">
        <f>HYPERLINK("..\..\Imagery\ScannedPhotos\1981\VO81-094.2.jpg")</f>
        <v>..\..\Imagery\ScannedPhotos\1981\VO81-094.2.jpg</v>
      </c>
    </row>
    <row r="784" spans="1:13" x14ac:dyDescent="0.25">
      <c r="A784" t="s">
        <v>2201</v>
      </c>
      <c r="B784">
        <v>580110</v>
      </c>
      <c r="C784">
        <v>5761847</v>
      </c>
      <c r="D784">
        <v>21</v>
      </c>
      <c r="E784" t="s">
        <v>15</v>
      </c>
      <c r="F784" t="s">
        <v>2202</v>
      </c>
      <c r="G784">
        <v>3</v>
      </c>
      <c r="H784" t="s">
        <v>1618</v>
      </c>
      <c r="I784" t="s">
        <v>147</v>
      </c>
      <c r="J784" t="s">
        <v>1619</v>
      </c>
      <c r="K784" t="s">
        <v>56</v>
      </c>
      <c r="L784" t="s">
        <v>2203</v>
      </c>
      <c r="M784" s="3" t="str">
        <f>HYPERLINK("..\..\Imagery\ScannedPhotos\1987\CG87-421.2.jpg")</f>
        <v>..\..\Imagery\ScannedPhotos\1987\CG87-421.2.jpg</v>
      </c>
    </row>
    <row r="785" spans="1:13" x14ac:dyDescent="0.25">
      <c r="A785" t="s">
        <v>2204</v>
      </c>
      <c r="B785">
        <v>424526</v>
      </c>
      <c r="C785">
        <v>5775876</v>
      </c>
      <c r="D785">
        <v>21</v>
      </c>
      <c r="E785" t="s">
        <v>15</v>
      </c>
      <c r="F785" t="s">
        <v>2205</v>
      </c>
      <c r="G785">
        <v>4</v>
      </c>
      <c r="H785" t="s">
        <v>738</v>
      </c>
      <c r="I785" t="s">
        <v>209</v>
      </c>
      <c r="J785" t="s">
        <v>739</v>
      </c>
      <c r="K785" t="s">
        <v>56</v>
      </c>
      <c r="L785" t="s">
        <v>2206</v>
      </c>
      <c r="M785" s="3" t="str">
        <f>HYPERLINK("..\..\Imagery\ScannedPhotos\1999\CG99-045.1.jpg")</f>
        <v>..\..\Imagery\ScannedPhotos\1999\CG99-045.1.jpg</v>
      </c>
    </row>
    <row r="786" spans="1:13" x14ac:dyDescent="0.25">
      <c r="A786" t="s">
        <v>2207</v>
      </c>
      <c r="B786">
        <v>427737</v>
      </c>
      <c r="C786">
        <v>5782893</v>
      </c>
      <c r="D786">
        <v>21</v>
      </c>
      <c r="E786" t="s">
        <v>15</v>
      </c>
      <c r="F786" t="s">
        <v>2208</v>
      </c>
      <c r="G786">
        <v>3</v>
      </c>
      <c r="H786" t="s">
        <v>738</v>
      </c>
      <c r="I786" t="s">
        <v>304</v>
      </c>
      <c r="J786" t="s">
        <v>739</v>
      </c>
      <c r="K786" t="s">
        <v>228</v>
      </c>
      <c r="L786" t="s">
        <v>2209</v>
      </c>
      <c r="M786" s="3" t="str">
        <f>HYPERLINK("..\..\Imagery\ScannedPhotos\1999\CG99-047.3.jpg")</f>
        <v>..\..\Imagery\ScannedPhotos\1999\CG99-047.3.jpg</v>
      </c>
    </row>
    <row r="787" spans="1:13" x14ac:dyDescent="0.25">
      <c r="A787" t="s">
        <v>2207</v>
      </c>
      <c r="B787">
        <v>427737</v>
      </c>
      <c r="C787">
        <v>5782893</v>
      </c>
      <c r="D787">
        <v>21</v>
      </c>
      <c r="E787" t="s">
        <v>15</v>
      </c>
      <c r="F787" t="s">
        <v>2210</v>
      </c>
      <c r="G787">
        <v>3</v>
      </c>
      <c r="H787" t="s">
        <v>738</v>
      </c>
      <c r="I787" t="s">
        <v>222</v>
      </c>
      <c r="J787" t="s">
        <v>739</v>
      </c>
      <c r="K787" t="s">
        <v>20</v>
      </c>
      <c r="L787" t="s">
        <v>2211</v>
      </c>
      <c r="M787" s="3" t="str">
        <f>HYPERLINK("..\..\Imagery\ScannedPhotos\1999\CG99-047.1.jpg")</f>
        <v>..\..\Imagery\ScannedPhotos\1999\CG99-047.1.jpg</v>
      </c>
    </row>
    <row r="788" spans="1:13" x14ac:dyDescent="0.25">
      <c r="A788" t="s">
        <v>2207</v>
      </c>
      <c r="B788">
        <v>427737</v>
      </c>
      <c r="C788">
        <v>5782893</v>
      </c>
      <c r="D788">
        <v>21</v>
      </c>
      <c r="E788" t="s">
        <v>15</v>
      </c>
      <c r="F788" t="s">
        <v>2212</v>
      </c>
      <c r="G788">
        <v>3</v>
      </c>
      <c r="H788" t="s">
        <v>738</v>
      </c>
      <c r="I788" t="s">
        <v>418</v>
      </c>
      <c r="J788" t="s">
        <v>739</v>
      </c>
      <c r="K788" t="s">
        <v>56</v>
      </c>
      <c r="L788" t="s">
        <v>2211</v>
      </c>
      <c r="M788" s="3" t="str">
        <f>HYPERLINK("..\..\Imagery\ScannedPhotos\1999\CG99-047.2.jpg")</f>
        <v>..\..\Imagery\ScannedPhotos\1999\CG99-047.2.jpg</v>
      </c>
    </row>
    <row r="789" spans="1:13" x14ac:dyDescent="0.25">
      <c r="A789" t="s">
        <v>736</v>
      </c>
      <c r="B789">
        <v>422834</v>
      </c>
      <c r="C789">
        <v>5774147</v>
      </c>
      <c r="D789">
        <v>21</v>
      </c>
      <c r="E789" t="s">
        <v>15</v>
      </c>
      <c r="F789" t="s">
        <v>2213</v>
      </c>
      <c r="G789">
        <v>2</v>
      </c>
      <c r="H789" t="s">
        <v>738</v>
      </c>
      <c r="I789" t="s">
        <v>195</v>
      </c>
      <c r="J789" t="s">
        <v>739</v>
      </c>
      <c r="K789" t="s">
        <v>20</v>
      </c>
      <c r="L789" t="s">
        <v>2214</v>
      </c>
      <c r="M789" s="3" t="str">
        <f>HYPERLINK("..\..\Imagery\ScannedPhotos\1999\CG99-048.1.jpg")</f>
        <v>..\..\Imagery\ScannedPhotos\1999\CG99-048.1.jpg</v>
      </c>
    </row>
    <row r="790" spans="1:13" x14ac:dyDescent="0.25">
      <c r="A790" t="s">
        <v>2215</v>
      </c>
      <c r="B790">
        <v>509434</v>
      </c>
      <c r="C790">
        <v>5711411</v>
      </c>
      <c r="D790">
        <v>21</v>
      </c>
      <c r="E790" t="s">
        <v>15</v>
      </c>
      <c r="F790" t="s">
        <v>2216</v>
      </c>
      <c r="G790">
        <v>2</v>
      </c>
      <c r="H790" t="s">
        <v>1338</v>
      </c>
      <c r="I790" t="s">
        <v>137</v>
      </c>
      <c r="J790" t="s">
        <v>570</v>
      </c>
      <c r="K790" t="s">
        <v>20</v>
      </c>
      <c r="L790" t="s">
        <v>2217</v>
      </c>
      <c r="M790" s="3" t="str">
        <f>HYPERLINK("..\..\Imagery\ScannedPhotos\1993\VN93-188.1.jpg")</f>
        <v>..\..\Imagery\ScannedPhotos\1993\VN93-188.1.jpg</v>
      </c>
    </row>
    <row r="791" spans="1:13" x14ac:dyDescent="0.25">
      <c r="A791" t="s">
        <v>2215</v>
      </c>
      <c r="B791">
        <v>509434</v>
      </c>
      <c r="C791">
        <v>5711411</v>
      </c>
      <c r="D791">
        <v>21</v>
      </c>
      <c r="E791" t="s">
        <v>15</v>
      </c>
      <c r="F791" t="s">
        <v>2218</v>
      </c>
      <c r="G791">
        <v>2</v>
      </c>
      <c r="H791" t="s">
        <v>1338</v>
      </c>
      <c r="I791" t="s">
        <v>18</v>
      </c>
      <c r="J791" t="s">
        <v>570</v>
      </c>
      <c r="K791" t="s">
        <v>20</v>
      </c>
      <c r="L791" t="s">
        <v>2219</v>
      </c>
      <c r="M791" s="3" t="str">
        <f>HYPERLINK("..\..\Imagery\ScannedPhotos\1993\VN93-188.2.jpg")</f>
        <v>..\..\Imagery\ScannedPhotos\1993\VN93-188.2.jpg</v>
      </c>
    </row>
    <row r="792" spans="1:13" x14ac:dyDescent="0.25">
      <c r="A792" t="s">
        <v>2220</v>
      </c>
      <c r="B792">
        <v>508952</v>
      </c>
      <c r="C792">
        <v>5711854</v>
      </c>
      <c r="D792">
        <v>21</v>
      </c>
      <c r="E792" t="s">
        <v>15</v>
      </c>
      <c r="F792" t="s">
        <v>2221</v>
      </c>
      <c r="G792">
        <v>1</v>
      </c>
      <c r="H792" t="s">
        <v>1338</v>
      </c>
      <c r="I792" t="s">
        <v>35</v>
      </c>
      <c r="J792" t="s">
        <v>570</v>
      </c>
      <c r="K792" t="s">
        <v>20</v>
      </c>
      <c r="L792" t="s">
        <v>2222</v>
      </c>
      <c r="M792" s="3" t="str">
        <f>HYPERLINK("..\..\Imagery\ScannedPhotos\1993\VN93-189.jpg")</f>
        <v>..\..\Imagery\ScannedPhotos\1993\VN93-189.jpg</v>
      </c>
    </row>
    <row r="793" spans="1:13" x14ac:dyDescent="0.25">
      <c r="A793" t="s">
        <v>2223</v>
      </c>
      <c r="B793">
        <v>511178</v>
      </c>
      <c r="C793">
        <v>5711391</v>
      </c>
      <c r="D793">
        <v>21</v>
      </c>
      <c r="E793" t="s">
        <v>15</v>
      </c>
      <c r="F793" t="s">
        <v>2224</v>
      </c>
      <c r="G793">
        <v>1</v>
      </c>
      <c r="H793" t="s">
        <v>1338</v>
      </c>
      <c r="I793" t="s">
        <v>69</v>
      </c>
      <c r="J793" t="s">
        <v>570</v>
      </c>
      <c r="K793" t="s">
        <v>20</v>
      </c>
      <c r="L793" t="s">
        <v>2225</v>
      </c>
      <c r="M793" s="3" t="str">
        <f>HYPERLINK("..\..\Imagery\ScannedPhotos\1993\VN93-193.jpg")</f>
        <v>..\..\Imagery\ScannedPhotos\1993\VN93-193.jpg</v>
      </c>
    </row>
    <row r="794" spans="1:13" x14ac:dyDescent="0.25">
      <c r="A794" t="s">
        <v>2226</v>
      </c>
      <c r="B794">
        <v>346096</v>
      </c>
      <c r="C794">
        <v>5778467</v>
      </c>
      <c r="D794">
        <v>21</v>
      </c>
      <c r="E794" t="s">
        <v>15</v>
      </c>
      <c r="F794" t="s">
        <v>2227</v>
      </c>
      <c r="G794">
        <v>1</v>
      </c>
      <c r="H794" t="s">
        <v>78</v>
      </c>
      <c r="I794" t="s">
        <v>147</v>
      </c>
      <c r="J794" t="s">
        <v>80</v>
      </c>
      <c r="K794" t="s">
        <v>20</v>
      </c>
      <c r="L794" t="s">
        <v>1020</v>
      </c>
      <c r="M794" s="3" t="str">
        <f>HYPERLINK("..\..\Imagery\ScannedPhotos\2000\CG00-211.jpg")</f>
        <v>..\..\Imagery\ScannedPhotos\2000\CG00-211.jpg</v>
      </c>
    </row>
    <row r="795" spans="1:13" x14ac:dyDescent="0.25">
      <c r="A795" t="s">
        <v>2228</v>
      </c>
      <c r="B795">
        <v>341001</v>
      </c>
      <c r="C795">
        <v>5790286</v>
      </c>
      <c r="D795">
        <v>21</v>
      </c>
      <c r="E795" t="s">
        <v>15</v>
      </c>
      <c r="F795" t="s">
        <v>2229</v>
      </c>
      <c r="G795">
        <v>1</v>
      </c>
      <c r="H795" t="s">
        <v>78</v>
      </c>
      <c r="I795" t="s">
        <v>52</v>
      </c>
      <c r="J795" t="s">
        <v>80</v>
      </c>
      <c r="K795" t="s">
        <v>20</v>
      </c>
      <c r="L795" t="s">
        <v>2230</v>
      </c>
      <c r="M795" s="3" t="str">
        <f>HYPERLINK("..\..\Imagery\ScannedPhotos\2000\CG00-214.jpg")</f>
        <v>..\..\Imagery\ScannedPhotos\2000\CG00-214.jpg</v>
      </c>
    </row>
    <row r="796" spans="1:13" x14ac:dyDescent="0.25">
      <c r="A796" t="s">
        <v>2231</v>
      </c>
      <c r="B796">
        <v>341349</v>
      </c>
      <c r="C796">
        <v>5788667</v>
      </c>
      <c r="D796">
        <v>21</v>
      </c>
      <c r="E796" t="s">
        <v>15</v>
      </c>
      <c r="F796" t="s">
        <v>2232</v>
      </c>
      <c r="G796">
        <v>1</v>
      </c>
      <c r="H796" t="s">
        <v>78</v>
      </c>
      <c r="I796" t="s">
        <v>65</v>
      </c>
      <c r="J796" t="s">
        <v>80</v>
      </c>
      <c r="K796" t="s">
        <v>20</v>
      </c>
      <c r="L796" t="s">
        <v>2233</v>
      </c>
      <c r="M796" s="3" t="str">
        <f>HYPERLINK("..\..\Imagery\ScannedPhotos\2000\CG00-215.jpg")</f>
        <v>..\..\Imagery\ScannedPhotos\2000\CG00-215.jpg</v>
      </c>
    </row>
    <row r="797" spans="1:13" x14ac:dyDescent="0.25">
      <c r="A797" t="s">
        <v>2234</v>
      </c>
      <c r="B797">
        <v>347542</v>
      </c>
      <c r="C797">
        <v>5781198</v>
      </c>
      <c r="D797">
        <v>21</v>
      </c>
      <c r="E797" t="s">
        <v>15</v>
      </c>
      <c r="F797" t="s">
        <v>2235</v>
      </c>
      <c r="G797">
        <v>1</v>
      </c>
      <c r="H797" t="s">
        <v>2236</v>
      </c>
      <c r="I797" t="s">
        <v>79</v>
      </c>
      <c r="J797" t="s">
        <v>80</v>
      </c>
      <c r="K797" t="s">
        <v>535</v>
      </c>
      <c r="L797" t="s">
        <v>2237</v>
      </c>
      <c r="M797" s="3" t="str">
        <f>HYPERLINK("..\..\Imagery\ScannedPhotos\2000\CG00-219.1.jpg")</f>
        <v>..\..\Imagery\ScannedPhotos\2000\CG00-219.1.jpg</v>
      </c>
    </row>
    <row r="798" spans="1:13" x14ac:dyDescent="0.25">
      <c r="A798" t="s">
        <v>2238</v>
      </c>
      <c r="B798">
        <v>407751</v>
      </c>
      <c r="C798">
        <v>6005716</v>
      </c>
      <c r="D798">
        <v>21</v>
      </c>
      <c r="E798" t="s">
        <v>15</v>
      </c>
      <c r="F798" t="s">
        <v>2239</v>
      </c>
      <c r="G798">
        <v>1</v>
      </c>
      <c r="H798" t="s">
        <v>1006</v>
      </c>
      <c r="I798" t="s">
        <v>108</v>
      </c>
      <c r="J798" t="s">
        <v>652</v>
      </c>
      <c r="K798" t="s">
        <v>20</v>
      </c>
      <c r="L798" t="s">
        <v>2240</v>
      </c>
      <c r="M798" s="3" t="str">
        <f>HYPERLINK("..\..\Imagery\ScannedPhotos\1980\CG80-076.jpg")</f>
        <v>..\..\Imagery\ScannedPhotos\1980\CG80-076.jpg</v>
      </c>
    </row>
    <row r="799" spans="1:13" x14ac:dyDescent="0.25">
      <c r="A799" t="s">
        <v>2241</v>
      </c>
      <c r="B799">
        <v>407924</v>
      </c>
      <c r="C799">
        <v>6005923</v>
      </c>
      <c r="D799">
        <v>21</v>
      </c>
      <c r="E799" t="s">
        <v>15</v>
      </c>
      <c r="F799" t="s">
        <v>2242</v>
      </c>
      <c r="G799">
        <v>1</v>
      </c>
      <c r="H799" t="s">
        <v>1006</v>
      </c>
      <c r="I799" t="s">
        <v>132</v>
      </c>
      <c r="J799" t="s">
        <v>652</v>
      </c>
      <c r="K799" t="s">
        <v>20</v>
      </c>
      <c r="L799" t="s">
        <v>2243</v>
      </c>
      <c r="M799" s="3" t="str">
        <f>HYPERLINK("..\..\Imagery\ScannedPhotos\1980\CG80-077.jpg")</f>
        <v>..\..\Imagery\ScannedPhotos\1980\CG80-077.jpg</v>
      </c>
    </row>
    <row r="800" spans="1:13" x14ac:dyDescent="0.25">
      <c r="A800" t="s">
        <v>2244</v>
      </c>
      <c r="B800">
        <v>402144</v>
      </c>
      <c r="C800">
        <v>5957726</v>
      </c>
      <c r="D800">
        <v>21</v>
      </c>
      <c r="E800" t="s">
        <v>15</v>
      </c>
      <c r="F800" t="s">
        <v>2245</v>
      </c>
      <c r="G800">
        <v>7</v>
      </c>
      <c r="H800" t="s">
        <v>2246</v>
      </c>
      <c r="I800" t="s">
        <v>30</v>
      </c>
      <c r="J800" t="s">
        <v>2247</v>
      </c>
      <c r="K800" t="s">
        <v>20</v>
      </c>
      <c r="L800" t="s">
        <v>2248</v>
      </c>
      <c r="M800" s="3" t="str">
        <f>HYPERLINK("..\..\Imagery\ScannedPhotos\1981\CG81-556.1.jpg")</f>
        <v>..\..\Imagery\ScannedPhotos\1981\CG81-556.1.jpg</v>
      </c>
    </row>
    <row r="801" spans="1:13" x14ac:dyDescent="0.25">
      <c r="A801" t="s">
        <v>2244</v>
      </c>
      <c r="B801">
        <v>402144</v>
      </c>
      <c r="C801">
        <v>5957726</v>
      </c>
      <c r="D801">
        <v>21</v>
      </c>
      <c r="E801" t="s">
        <v>15</v>
      </c>
      <c r="F801" t="s">
        <v>2249</v>
      </c>
      <c r="G801">
        <v>7</v>
      </c>
      <c r="H801" t="s">
        <v>2246</v>
      </c>
      <c r="I801" t="s">
        <v>114</v>
      </c>
      <c r="J801" t="s">
        <v>2247</v>
      </c>
      <c r="K801" t="s">
        <v>20</v>
      </c>
      <c r="L801" t="s">
        <v>2250</v>
      </c>
      <c r="M801" s="3" t="str">
        <f>HYPERLINK("..\..\Imagery\ScannedPhotos\1981\CG81-556.2.jpg")</f>
        <v>..\..\Imagery\ScannedPhotos\1981\CG81-556.2.jpg</v>
      </c>
    </row>
    <row r="802" spans="1:13" x14ac:dyDescent="0.25">
      <c r="A802" t="s">
        <v>2244</v>
      </c>
      <c r="B802">
        <v>402144</v>
      </c>
      <c r="C802">
        <v>5957726</v>
      </c>
      <c r="D802">
        <v>21</v>
      </c>
      <c r="E802" t="s">
        <v>15</v>
      </c>
      <c r="F802" t="s">
        <v>2251</v>
      </c>
      <c r="G802">
        <v>7</v>
      </c>
      <c r="H802" t="s">
        <v>2246</v>
      </c>
      <c r="I802" t="s">
        <v>122</v>
      </c>
      <c r="J802" t="s">
        <v>2247</v>
      </c>
      <c r="K802" t="s">
        <v>20</v>
      </c>
      <c r="L802" t="s">
        <v>2250</v>
      </c>
      <c r="M802" s="3" t="str">
        <f>HYPERLINK("..\..\Imagery\ScannedPhotos\1981\CG81-556.4.jpg")</f>
        <v>..\..\Imagery\ScannedPhotos\1981\CG81-556.4.jpg</v>
      </c>
    </row>
    <row r="803" spans="1:13" x14ac:dyDescent="0.25">
      <c r="A803" t="s">
        <v>2252</v>
      </c>
      <c r="B803">
        <v>538903</v>
      </c>
      <c r="C803">
        <v>5951804</v>
      </c>
      <c r="D803">
        <v>21</v>
      </c>
      <c r="E803" t="s">
        <v>15</v>
      </c>
      <c r="F803" t="s">
        <v>2253</v>
      </c>
      <c r="G803">
        <v>2</v>
      </c>
      <c r="H803" t="s">
        <v>221</v>
      </c>
      <c r="I803" t="s">
        <v>304</v>
      </c>
      <c r="J803" t="s">
        <v>48</v>
      </c>
      <c r="K803" t="s">
        <v>20</v>
      </c>
      <c r="L803" t="s">
        <v>2254</v>
      </c>
      <c r="M803" s="3" t="str">
        <f>HYPERLINK("..\..\Imagery\ScannedPhotos\1981\CG81-352.2.jpg")</f>
        <v>..\..\Imagery\ScannedPhotos\1981\CG81-352.2.jpg</v>
      </c>
    </row>
    <row r="804" spans="1:13" x14ac:dyDescent="0.25">
      <c r="A804" t="s">
        <v>2255</v>
      </c>
      <c r="B804">
        <v>376283</v>
      </c>
      <c r="C804">
        <v>6092713</v>
      </c>
      <c r="D804">
        <v>21</v>
      </c>
      <c r="E804" t="s">
        <v>15</v>
      </c>
      <c r="F804" t="s">
        <v>2256</v>
      </c>
      <c r="G804">
        <v>1</v>
      </c>
      <c r="H804" t="s">
        <v>1623</v>
      </c>
      <c r="I804" t="s">
        <v>94</v>
      </c>
      <c r="J804" t="s">
        <v>1624</v>
      </c>
      <c r="K804" t="s">
        <v>20</v>
      </c>
      <c r="L804" t="s">
        <v>2257</v>
      </c>
      <c r="M804" s="3" t="str">
        <f>HYPERLINK("..\..\Imagery\ScannedPhotos\1978\AL78-027.jpg")</f>
        <v>..\..\Imagery\ScannedPhotos\1978\AL78-027.jpg</v>
      </c>
    </row>
    <row r="805" spans="1:13" x14ac:dyDescent="0.25">
      <c r="A805" t="s">
        <v>2258</v>
      </c>
      <c r="B805">
        <v>574594</v>
      </c>
      <c r="C805">
        <v>5846683</v>
      </c>
      <c r="D805">
        <v>21</v>
      </c>
      <c r="E805" t="s">
        <v>15</v>
      </c>
      <c r="F805" t="s">
        <v>2259</v>
      </c>
      <c r="G805">
        <v>1</v>
      </c>
      <c r="H805" t="s">
        <v>2130</v>
      </c>
      <c r="I805" t="s">
        <v>65</v>
      </c>
      <c r="J805" t="s">
        <v>300</v>
      </c>
      <c r="K805" t="s">
        <v>20</v>
      </c>
      <c r="L805" t="s">
        <v>2260</v>
      </c>
      <c r="M805" s="3" t="str">
        <f>HYPERLINK("..\..\Imagery\ScannedPhotos\1986\JS86-443.jpg")</f>
        <v>..\..\Imagery\ScannedPhotos\1986\JS86-443.jpg</v>
      </c>
    </row>
    <row r="806" spans="1:13" x14ac:dyDescent="0.25">
      <c r="A806" t="s">
        <v>2261</v>
      </c>
      <c r="B806">
        <v>574669</v>
      </c>
      <c r="C806">
        <v>5832629</v>
      </c>
      <c r="D806">
        <v>21</v>
      </c>
      <c r="E806" t="s">
        <v>15</v>
      </c>
      <c r="F806" t="s">
        <v>2262</v>
      </c>
      <c r="G806">
        <v>2</v>
      </c>
      <c r="H806" t="s">
        <v>1759</v>
      </c>
      <c r="I806" t="s">
        <v>79</v>
      </c>
      <c r="J806" t="s">
        <v>36</v>
      </c>
      <c r="K806" t="s">
        <v>20</v>
      </c>
      <c r="L806" t="s">
        <v>2263</v>
      </c>
      <c r="M806" s="3" t="str">
        <f>HYPERLINK("..\..\Imagery\ScannedPhotos\1986\JS86-451.2.jpg")</f>
        <v>..\..\Imagery\ScannedPhotos\1986\JS86-451.2.jpg</v>
      </c>
    </row>
    <row r="807" spans="1:13" x14ac:dyDescent="0.25">
      <c r="A807" t="s">
        <v>2264</v>
      </c>
      <c r="B807">
        <v>511599</v>
      </c>
      <c r="C807">
        <v>5710570</v>
      </c>
      <c r="D807">
        <v>21</v>
      </c>
      <c r="E807" t="s">
        <v>15</v>
      </c>
      <c r="F807" t="s">
        <v>2265</v>
      </c>
      <c r="G807">
        <v>4</v>
      </c>
      <c r="H807" t="s">
        <v>1338</v>
      </c>
      <c r="I807" t="s">
        <v>375</v>
      </c>
      <c r="J807" t="s">
        <v>570</v>
      </c>
      <c r="K807" t="s">
        <v>20</v>
      </c>
      <c r="L807" t="s">
        <v>2266</v>
      </c>
      <c r="M807" s="3" t="str">
        <f>HYPERLINK("..\..\Imagery\ScannedPhotos\1993\VN93-195.4.jpg")</f>
        <v>..\..\Imagery\ScannedPhotos\1993\VN93-195.4.jpg</v>
      </c>
    </row>
    <row r="808" spans="1:13" x14ac:dyDescent="0.25">
      <c r="A808" t="s">
        <v>2267</v>
      </c>
      <c r="B808">
        <v>596401</v>
      </c>
      <c r="C808">
        <v>5792907</v>
      </c>
      <c r="D808">
        <v>21</v>
      </c>
      <c r="E808" t="s">
        <v>15</v>
      </c>
      <c r="F808" t="s">
        <v>2268</v>
      </c>
      <c r="G808">
        <v>3</v>
      </c>
      <c r="K808" t="s">
        <v>20</v>
      </c>
      <c r="L808" t="s">
        <v>2269</v>
      </c>
      <c r="M808" s="3" t="str">
        <f>HYPERLINK("..\..\Imagery\ScannedPhotos\2007\CG07-149.1.jpg")</f>
        <v>..\..\Imagery\ScannedPhotos\2007\CG07-149.1.jpg</v>
      </c>
    </row>
    <row r="809" spans="1:13" x14ac:dyDescent="0.25">
      <c r="A809" t="s">
        <v>2267</v>
      </c>
      <c r="B809">
        <v>596401</v>
      </c>
      <c r="C809">
        <v>5792907</v>
      </c>
      <c r="D809">
        <v>21</v>
      </c>
      <c r="E809" t="s">
        <v>15</v>
      </c>
      <c r="F809" t="s">
        <v>2270</v>
      </c>
      <c r="G809">
        <v>3</v>
      </c>
      <c r="K809" t="s">
        <v>20</v>
      </c>
      <c r="L809" t="s">
        <v>1709</v>
      </c>
      <c r="M809" s="3" t="str">
        <f>HYPERLINK("..\..\Imagery\ScannedPhotos\2007\CG07-149.2.jpg")</f>
        <v>..\..\Imagery\ScannedPhotos\2007\CG07-149.2.jpg</v>
      </c>
    </row>
    <row r="810" spans="1:13" x14ac:dyDescent="0.25">
      <c r="A810" t="s">
        <v>2267</v>
      </c>
      <c r="B810">
        <v>596401</v>
      </c>
      <c r="C810">
        <v>5792907</v>
      </c>
      <c r="D810">
        <v>21</v>
      </c>
      <c r="E810" t="s">
        <v>15</v>
      </c>
      <c r="F810" t="s">
        <v>2271</v>
      </c>
      <c r="G810">
        <v>3</v>
      </c>
      <c r="K810" t="s">
        <v>20</v>
      </c>
      <c r="L810" t="s">
        <v>1709</v>
      </c>
      <c r="M810" s="3" t="str">
        <f>HYPERLINK("..\..\Imagery\ScannedPhotos\2007\CG07-149.3.jpg")</f>
        <v>..\..\Imagery\ScannedPhotos\2007\CG07-149.3.jpg</v>
      </c>
    </row>
    <row r="811" spans="1:13" x14ac:dyDescent="0.25">
      <c r="A811" t="s">
        <v>2272</v>
      </c>
      <c r="B811">
        <v>596408</v>
      </c>
      <c r="C811">
        <v>5792891</v>
      </c>
      <c r="D811">
        <v>21</v>
      </c>
      <c r="E811" t="s">
        <v>15</v>
      </c>
      <c r="F811" t="s">
        <v>2273</v>
      </c>
      <c r="G811">
        <v>1</v>
      </c>
      <c r="K811" t="s">
        <v>20</v>
      </c>
      <c r="L811" t="s">
        <v>2274</v>
      </c>
      <c r="M811" s="3" t="str">
        <f>HYPERLINK("..\..\Imagery\ScannedPhotos\2007\CG07-150.jpg")</f>
        <v>..\..\Imagery\ScannedPhotos\2007\CG07-150.jpg</v>
      </c>
    </row>
    <row r="812" spans="1:13" x14ac:dyDescent="0.25">
      <c r="A812" t="s">
        <v>2275</v>
      </c>
      <c r="B812">
        <v>562991</v>
      </c>
      <c r="C812">
        <v>5839089</v>
      </c>
      <c r="D812">
        <v>21</v>
      </c>
      <c r="E812" t="s">
        <v>15</v>
      </c>
      <c r="F812" t="s">
        <v>2276</v>
      </c>
      <c r="G812">
        <v>2</v>
      </c>
      <c r="K812" t="s">
        <v>20</v>
      </c>
      <c r="L812" t="s">
        <v>2277</v>
      </c>
      <c r="M812" s="3" t="str">
        <f>HYPERLINK("..\..\Imagery\ScannedPhotos\2004\CG04-095.1.jpg")</f>
        <v>..\..\Imagery\ScannedPhotos\2004\CG04-095.1.jpg</v>
      </c>
    </row>
    <row r="813" spans="1:13" x14ac:dyDescent="0.25">
      <c r="A813" t="s">
        <v>2275</v>
      </c>
      <c r="B813">
        <v>562991</v>
      </c>
      <c r="C813">
        <v>5839089</v>
      </c>
      <c r="D813">
        <v>21</v>
      </c>
      <c r="E813" t="s">
        <v>15</v>
      </c>
      <c r="F813" t="s">
        <v>2278</v>
      </c>
      <c r="G813">
        <v>2</v>
      </c>
      <c r="K813" t="s">
        <v>20</v>
      </c>
      <c r="L813" t="s">
        <v>2277</v>
      </c>
      <c r="M813" s="3" t="str">
        <f>HYPERLINK("..\..\Imagery\ScannedPhotos\2004\CG04-095.2.jpg")</f>
        <v>..\..\Imagery\ScannedPhotos\2004\CG04-095.2.jpg</v>
      </c>
    </row>
    <row r="814" spans="1:13" x14ac:dyDescent="0.25">
      <c r="A814" t="s">
        <v>2279</v>
      </c>
      <c r="B814">
        <v>476850</v>
      </c>
      <c r="C814">
        <v>5787150</v>
      </c>
      <c r="D814">
        <v>21</v>
      </c>
      <c r="E814" t="s">
        <v>15</v>
      </c>
      <c r="F814" t="s">
        <v>2280</v>
      </c>
      <c r="G814">
        <v>3</v>
      </c>
      <c r="H814" t="s">
        <v>1163</v>
      </c>
      <c r="I814" t="s">
        <v>214</v>
      </c>
      <c r="J814" t="s">
        <v>814</v>
      </c>
      <c r="K814" t="s">
        <v>56</v>
      </c>
      <c r="L814" t="s">
        <v>2281</v>
      </c>
      <c r="M814" s="3" t="str">
        <f>HYPERLINK("..\..\Imagery\ScannedPhotos\1992\VN92-138.2.jpg")</f>
        <v>..\..\Imagery\ScannedPhotos\1992\VN92-138.2.jpg</v>
      </c>
    </row>
    <row r="815" spans="1:13" x14ac:dyDescent="0.25">
      <c r="A815" t="s">
        <v>2282</v>
      </c>
      <c r="B815">
        <v>504835</v>
      </c>
      <c r="C815">
        <v>5970254</v>
      </c>
      <c r="D815">
        <v>21</v>
      </c>
      <c r="E815" t="s">
        <v>15</v>
      </c>
      <c r="F815" t="s">
        <v>2283</v>
      </c>
      <c r="G815">
        <v>20</v>
      </c>
      <c r="H815" t="s">
        <v>2284</v>
      </c>
      <c r="I815" t="s">
        <v>647</v>
      </c>
      <c r="J815" t="s">
        <v>1014</v>
      </c>
      <c r="K815" t="s">
        <v>20</v>
      </c>
      <c r="L815" t="s">
        <v>2285</v>
      </c>
      <c r="M815" s="3" t="str">
        <f>HYPERLINK("..\..\Imagery\ScannedPhotos\1984\CG84-172.15.jpg")</f>
        <v>..\..\Imagery\ScannedPhotos\1984\CG84-172.15.jpg</v>
      </c>
    </row>
    <row r="816" spans="1:13" x14ac:dyDescent="0.25">
      <c r="A816" t="s">
        <v>2286</v>
      </c>
      <c r="B816">
        <v>362972</v>
      </c>
      <c r="C816">
        <v>6054117</v>
      </c>
      <c r="D816">
        <v>21</v>
      </c>
      <c r="E816" t="s">
        <v>15</v>
      </c>
      <c r="F816" t="s">
        <v>2287</v>
      </c>
      <c r="G816">
        <v>1</v>
      </c>
      <c r="H816" t="s">
        <v>2011</v>
      </c>
      <c r="I816" t="s">
        <v>129</v>
      </c>
      <c r="J816" t="s">
        <v>1624</v>
      </c>
      <c r="K816" t="s">
        <v>20</v>
      </c>
      <c r="L816" t="s">
        <v>2288</v>
      </c>
      <c r="M816" s="3" t="str">
        <f>HYPERLINK("..\..\Imagery\ScannedPhotos\1978\AL78-216.jpg")</f>
        <v>..\..\Imagery\ScannedPhotos\1978\AL78-216.jpg</v>
      </c>
    </row>
    <row r="817" spans="1:13" x14ac:dyDescent="0.25">
      <c r="A817" t="s">
        <v>2289</v>
      </c>
      <c r="B817">
        <v>568925</v>
      </c>
      <c r="C817">
        <v>5822470</v>
      </c>
      <c r="D817">
        <v>21</v>
      </c>
      <c r="E817" t="s">
        <v>15</v>
      </c>
      <c r="F817" t="s">
        <v>2290</v>
      </c>
      <c r="G817">
        <v>3</v>
      </c>
      <c r="H817" t="s">
        <v>2291</v>
      </c>
      <c r="I817" t="s">
        <v>85</v>
      </c>
      <c r="J817" t="s">
        <v>2292</v>
      </c>
      <c r="K817" t="s">
        <v>20</v>
      </c>
      <c r="L817" t="s">
        <v>71</v>
      </c>
      <c r="M817" s="3" t="str">
        <f>HYPERLINK("..\..\Imagery\ScannedPhotos\1986\SN86-432.3.jpg")</f>
        <v>..\..\Imagery\ScannedPhotos\1986\SN86-432.3.jpg</v>
      </c>
    </row>
    <row r="818" spans="1:13" x14ac:dyDescent="0.25">
      <c r="A818" t="s">
        <v>2293</v>
      </c>
      <c r="B818">
        <v>569527</v>
      </c>
      <c r="C818">
        <v>5823655</v>
      </c>
      <c r="D818">
        <v>21</v>
      </c>
      <c r="E818" t="s">
        <v>15</v>
      </c>
      <c r="F818" t="s">
        <v>2294</v>
      </c>
      <c r="G818">
        <v>1</v>
      </c>
      <c r="H818" t="s">
        <v>2291</v>
      </c>
      <c r="I818" t="s">
        <v>375</v>
      </c>
      <c r="J818" t="s">
        <v>2292</v>
      </c>
      <c r="K818" t="s">
        <v>20</v>
      </c>
      <c r="L818" t="s">
        <v>2295</v>
      </c>
      <c r="M818" s="3" t="str">
        <f>HYPERLINK("..\..\Imagery\ScannedPhotos\1986\SN86-435.jpg")</f>
        <v>..\..\Imagery\ScannedPhotos\1986\SN86-435.jpg</v>
      </c>
    </row>
    <row r="819" spans="1:13" x14ac:dyDescent="0.25">
      <c r="A819" t="s">
        <v>2296</v>
      </c>
      <c r="B819">
        <v>591438</v>
      </c>
      <c r="C819">
        <v>5809123</v>
      </c>
      <c r="D819">
        <v>21</v>
      </c>
      <c r="E819" t="s">
        <v>15</v>
      </c>
      <c r="F819" t="s">
        <v>2297</v>
      </c>
      <c r="G819">
        <v>4</v>
      </c>
      <c r="H819" t="s">
        <v>1618</v>
      </c>
      <c r="I819" t="s">
        <v>41</v>
      </c>
      <c r="J819" t="s">
        <v>1619</v>
      </c>
      <c r="K819" t="s">
        <v>20</v>
      </c>
      <c r="L819" t="s">
        <v>2298</v>
      </c>
      <c r="M819" s="3" t="str">
        <f>HYPERLINK("..\..\Imagery\ScannedPhotos\1987\CG87-333.3.jpg")</f>
        <v>..\..\Imagery\ScannedPhotos\1987\CG87-333.3.jpg</v>
      </c>
    </row>
    <row r="820" spans="1:13" x14ac:dyDescent="0.25">
      <c r="A820" t="s">
        <v>2296</v>
      </c>
      <c r="B820">
        <v>591438</v>
      </c>
      <c r="C820">
        <v>5809123</v>
      </c>
      <c r="D820">
        <v>21</v>
      </c>
      <c r="E820" t="s">
        <v>15</v>
      </c>
      <c r="F820" t="s">
        <v>2299</v>
      </c>
      <c r="G820">
        <v>4</v>
      </c>
      <c r="H820" t="s">
        <v>1618</v>
      </c>
      <c r="I820" t="s">
        <v>69</v>
      </c>
      <c r="J820" t="s">
        <v>1619</v>
      </c>
      <c r="K820" t="s">
        <v>56</v>
      </c>
      <c r="L820" t="s">
        <v>2300</v>
      </c>
      <c r="M820" s="3" t="str">
        <f>HYPERLINK("..\..\Imagery\ScannedPhotos\1987\CG87-333.1.jpg")</f>
        <v>..\..\Imagery\ScannedPhotos\1987\CG87-333.1.jpg</v>
      </c>
    </row>
    <row r="821" spans="1:13" x14ac:dyDescent="0.25">
      <c r="A821" t="s">
        <v>2301</v>
      </c>
      <c r="B821">
        <v>592164</v>
      </c>
      <c r="C821">
        <v>5807920</v>
      </c>
      <c r="D821">
        <v>21</v>
      </c>
      <c r="E821" t="s">
        <v>15</v>
      </c>
      <c r="F821" t="s">
        <v>2302</v>
      </c>
      <c r="G821">
        <v>1</v>
      </c>
      <c r="H821" t="s">
        <v>1618</v>
      </c>
      <c r="I821" t="s">
        <v>375</v>
      </c>
      <c r="J821" t="s">
        <v>1619</v>
      </c>
      <c r="K821" t="s">
        <v>20</v>
      </c>
      <c r="L821" t="s">
        <v>2303</v>
      </c>
      <c r="M821" s="3" t="str">
        <f>HYPERLINK("..\..\Imagery\ScannedPhotos\1987\CG87-336.jpg")</f>
        <v>..\..\Imagery\ScannedPhotos\1987\CG87-336.jpg</v>
      </c>
    </row>
    <row r="822" spans="1:13" x14ac:dyDescent="0.25">
      <c r="A822" t="s">
        <v>2304</v>
      </c>
      <c r="B822">
        <v>434203</v>
      </c>
      <c r="C822">
        <v>5834324</v>
      </c>
      <c r="D822">
        <v>21</v>
      </c>
      <c r="E822" t="s">
        <v>15</v>
      </c>
      <c r="F822" t="s">
        <v>2305</v>
      </c>
      <c r="G822">
        <v>1</v>
      </c>
      <c r="H822" t="s">
        <v>1037</v>
      </c>
      <c r="I822" t="s">
        <v>375</v>
      </c>
      <c r="J822" t="s">
        <v>1038</v>
      </c>
      <c r="K822" t="s">
        <v>20</v>
      </c>
      <c r="L822" t="s">
        <v>2306</v>
      </c>
      <c r="M822" s="3" t="str">
        <f>HYPERLINK("..\..\Imagery\ScannedPhotos\1991\VN91-440.jpg")</f>
        <v>..\..\Imagery\ScannedPhotos\1991\VN91-440.jpg</v>
      </c>
    </row>
    <row r="823" spans="1:13" x14ac:dyDescent="0.25">
      <c r="A823" t="s">
        <v>2307</v>
      </c>
      <c r="B823">
        <v>485933</v>
      </c>
      <c r="C823">
        <v>5842108</v>
      </c>
      <c r="D823">
        <v>21</v>
      </c>
      <c r="E823" t="s">
        <v>15</v>
      </c>
      <c r="F823" t="s">
        <v>2308</v>
      </c>
      <c r="G823">
        <v>1</v>
      </c>
      <c r="H823" t="s">
        <v>1128</v>
      </c>
      <c r="I823" t="s">
        <v>132</v>
      </c>
      <c r="J823" t="s">
        <v>1129</v>
      </c>
      <c r="K823" t="s">
        <v>20</v>
      </c>
      <c r="L823" t="s">
        <v>2309</v>
      </c>
      <c r="M823" s="3" t="str">
        <f>HYPERLINK("..\..\Imagery\ScannedPhotos\1991\VN91-116.jpg")</f>
        <v>..\..\Imagery\ScannedPhotos\1991\VN91-116.jpg</v>
      </c>
    </row>
    <row r="824" spans="1:13" x14ac:dyDescent="0.25">
      <c r="A824" t="s">
        <v>2310</v>
      </c>
      <c r="B824">
        <v>397586</v>
      </c>
      <c r="C824">
        <v>5908024</v>
      </c>
      <c r="D824">
        <v>21</v>
      </c>
      <c r="E824" t="s">
        <v>15</v>
      </c>
      <c r="F824" t="s">
        <v>2311</v>
      </c>
      <c r="G824">
        <v>2</v>
      </c>
      <c r="H824" t="s">
        <v>2312</v>
      </c>
      <c r="I824" t="s">
        <v>69</v>
      </c>
      <c r="J824" t="s">
        <v>557</v>
      </c>
      <c r="K824" t="s">
        <v>20</v>
      </c>
      <c r="L824" t="s">
        <v>2313</v>
      </c>
      <c r="M824" s="3" t="str">
        <f>HYPERLINK("..\..\Imagery\ScannedPhotos\1995\VN95-176.1.jpg")</f>
        <v>..\..\Imagery\ScannedPhotos\1995\VN95-176.1.jpg</v>
      </c>
    </row>
    <row r="825" spans="1:13" x14ac:dyDescent="0.25">
      <c r="A825" t="s">
        <v>2314</v>
      </c>
      <c r="B825">
        <v>525568</v>
      </c>
      <c r="C825">
        <v>5746707</v>
      </c>
      <c r="D825">
        <v>21</v>
      </c>
      <c r="E825" t="s">
        <v>15</v>
      </c>
      <c r="F825" t="s">
        <v>2315</v>
      </c>
      <c r="G825">
        <v>2</v>
      </c>
      <c r="H825" t="s">
        <v>869</v>
      </c>
      <c r="I825" t="s">
        <v>294</v>
      </c>
      <c r="J825" t="s">
        <v>870</v>
      </c>
      <c r="K825" t="s">
        <v>56</v>
      </c>
      <c r="L825" t="s">
        <v>2316</v>
      </c>
      <c r="M825" s="3" t="str">
        <f>HYPERLINK("..\..\Imagery\ScannedPhotos\1993\VN93-593.1.jpg")</f>
        <v>..\..\Imagery\ScannedPhotos\1993\VN93-593.1.jpg</v>
      </c>
    </row>
    <row r="826" spans="1:13" x14ac:dyDescent="0.25">
      <c r="A826" t="s">
        <v>2317</v>
      </c>
      <c r="B826">
        <v>415647</v>
      </c>
      <c r="C826">
        <v>6011367</v>
      </c>
      <c r="D826">
        <v>21</v>
      </c>
      <c r="E826" t="s">
        <v>15</v>
      </c>
      <c r="F826" t="s">
        <v>2318</v>
      </c>
      <c r="G826">
        <v>1</v>
      </c>
      <c r="H826" t="s">
        <v>2319</v>
      </c>
      <c r="I826" t="s">
        <v>18</v>
      </c>
      <c r="J826" t="s">
        <v>759</v>
      </c>
      <c r="K826" t="s">
        <v>20</v>
      </c>
      <c r="L826" t="s">
        <v>1020</v>
      </c>
      <c r="M826" s="3" t="str">
        <f>HYPERLINK("..\..\Imagery\ScannedPhotos\1980\CG80-005.jpg")</f>
        <v>..\..\Imagery\ScannedPhotos\1980\CG80-005.jpg</v>
      </c>
    </row>
    <row r="827" spans="1:13" x14ac:dyDescent="0.25">
      <c r="A827" t="s">
        <v>2320</v>
      </c>
      <c r="B827">
        <v>415294</v>
      </c>
      <c r="C827">
        <v>6011283</v>
      </c>
      <c r="D827">
        <v>21</v>
      </c>
      <c r="E827" t="s">
        <v>15</v>
      </c>
      <c r="F827" t="s">
        <v>2321</v>
      </c>
      <c r="G827">
        <v>1</v>
      </c>
      <c r="H827" t="s">
        <v>2319</v>
      </c>
      <c r="I827" t="s">
        <v>35</v>
      </c>
      <c r="J827" t="s">
        <v>759</v>
      </c>
      <c r="K827" t="s">
        <v>20</v>
      </c>
      <c r="L827" t="s">
        <v>2322</v>
      </c>
      <c r="M827" s="3" t="str">
        <f>HYPERLINK("..\..\Imagery\ScannedPhotos\1980\CG80-007.jpg")</f>
        <v>..\..\Imagery\ScannedPhotos\1980\CG80-007.jpg</v>
      </c>
    </row>
    <row r="828" spans="1:13" x14ac:dyDescent="0.25">
      <c r="A828" t="s">
        <v>2323</v>
      </c>
      <c r="B828">
        <v>551674</v>
      </c>
      <c r="C828">
        <v>5817636</v>
      </c>
      <c r="D828">
        <v>21</v>
      </c>
      <c r="E828" t="s">
        <v>15</v>
      </c>
      <c r="F828" t="s">
        <v>2324</v>
      </c>
      <c r="G828">
        <v>2</v>
      </c>
      <c r="H828" t="s">
        <v>2325</v>
      </c>
      <c r="I828" t="s">
        <v>35</v>
      </c>
      <c r="J828" t="s">
        <v>2019</v>
      </c>
      <c r="K828" t="s">
        <v>20</v>
      </c>
      <c r="L828" t="s">
        <v>2326</v>
      </c>
      <c r="M828" s="3" t="str">
        <f>HYPERLINK("..\..\Imagery\ScannedPhotos\1986\MN86-009.2.jpg")</f>
        <v>..\..\Imagery\ScannedPhotos\1986\MN86-009.2.jpg</v>
      </c>
    </row>
    <row r="829" spans="1:13" x14ac:dyDescent="0.25">
      <c r="A829" t="s">
        <v>2327</v>
      </c>
      <c r="B829">
        <v>505556</v>
      </c>
      <c r="C829">
        <v>5833108</v>
      </c>
      <c r="D829">
        <v>21</v>
      </c>
      <c r="E829" t="s">
        <v>15</v>
      </c>
      <c r="F829" t="s">
        <v>2328</v>
      </c>
      <c r="G829">
        <v>1</v>
      </c>
      <c r="H829" t="s">
        <v>299</v>
      </c>
      <c r="I829" t="s">
        <v>132</v>
      </c>
      <c r="J829" t="s">
        <v>300</v>
      </c>
      <c r="K829" t="s">
        <v>56</v>
      </c>
      <c r="L829" t="s">
        <v>2329</v>
      </c>
      <c r="M829" s="3" t="str">
        <f>HYPERLINK("..\..\Imagery\ScannedPhotos\1986\MN86-250.jpg")</f>
        <v>..\..\Imagery\ScannedPhotos\1986\MN86-250.jpg</v>
      </c>
    </row>
    <row r="830" spans="1:13" x14ac:dyDescent="0.25">
      <c r="A830" t="s">
        <v>2330</v>
      </c>
      <c r="B830">
        <v>581487</v>
      </c>
      <c r="C830">
        <v>5899349</v>
      </c>
      <c r="D830">
        <v>21</v>
      </c>
      <c r="E830" t="s">
        <v>15</v>
      </c>
      <c r="F830" t="s">
        <v>2331</v>
      </c>
      <c r="G830">
        <v>2</v>
      </c>
      <c r="H830" t="s">
        <v>136</v>
      </c>
      <c r="I830" t="s">
        <v>222</v>
      </c>
      <c r="J830" t="s">
        <v>138</v>
      </c>
      <c r="K830" t="s">
        <v>20</v>
      </c>
      <c r="L830" t="s">
        <v>2332</v>
      </c>
      <c r="M830" s="3" t="str">
        <f>HYPERLINK("..\..\Imagery\ScannedPhotos\1985\GM85-541.2.jpg")</f>
        <v>..\..\Imagery\ScannedPhotos\1985\GM85-541.2.jpg</v>
      </c>
    </row>
    <row r="831" spans="1:13" x14ac:dyDescent="0.25">
      <c r="A831" t="s">
        <v>2330</v>
      </c>
      <c r="B831">
        <v>581487</v>
      </c>
      <c r="C831">
        <v>5899349</v>
      </c>
      <c r="D831">
        <v>21</v>
      </c>
      <c r="E831" t="s">
        <v>15</v>
      </c>
      <c r="F831" t="s">
        <v>2333</v>
      </c>
      <c r="G831">
        <v>2</v>
      </c>
      <c r="H831" t="s">
        <v>136</v>
      </c>
      <c r="I831" t="s">
        <v>214</v>
      </c>
      <c r="J831" t="s">
        <v>138</v>
      </c>
      <c r="K831" t="s">
        <v>20</v>
      </c>
      <c r="L831" t="s">
        <v>2332</v>
      </c>
      <c r="M831" s="3" t="str">
        <f>HYPERLINK("..\..\Imagery\ScannedPhotos\1985\GM85-541.1.jpg")</f>
        <v>..\..\Imagery\ScannedPhotos\1985\GM85-541.1.jpg</v>
      </c>
    </row>
    <row r="832" spans="1:13" x14ac:dyDescent="0.25">
      <c r="A832" t="s">
        <v>2334</v>
      </c>
      <c r="B832">
        <v>580671</v>
      </c>
      <c r="C832">
        <v>5900148</v>
      </c>
      <c r="D832">
        <v>21</v>
      </c>
      <c r="E832" t="s">
        <v>15</v>
      </c>
      <c r="F832" t="s">
        <v>2335</v>
      </c>
      <c r="G832">
        <v>2</v>
      </c>
      <c r="H832" t="s">
        <v>136</v>
      </c>
      <c r="I832" t="s">
        <v>304</v>
      </c>
      <c r="J832" t="s">
        <v>138</v>
      </c>
      <c r="K832" t="s">
        <v>20</v>
      </c>
      <c r="L832" t="s">
        <v>2336</v>
      </c>
      <c r="M832" s="3" t="str">
        <f>HYPERLINK("..\..\Imagery\ScannedPhotos\1985\GM85-546.2.jpg")</f>
        <v>..\..\Imagery\ScannedPhotos\1985\GM85-546.2.jpg</v>
      </c>
    </row>
    <row r="833" spans="1:13" x14ac:dyDescent="0.25">
      <c r="A833" t="s">
        <v>2334</v>
      </c>
      <c r="B833">
        <v>580671</v>
      </c>
      <c r="C833">
        <v>5900148</v>
      </c>
      <c r="D833">
        <v>21</v>
      </c>
      <c r="E833" t="s">
        <v>15</v>
      </c>
      <c r="F833" t="s">
        <v>2337</v>
      </c>
      <c r="G833">
        <v>2</v>
      </c>
      <c r="H833" t="s">
        <v>136</v>
      </c>
      <c r="I833" t="s">
        <v>418</v>
      </c>
      <c r="J833" t="s">
        <v>138</v>
      </c>
      <c r="K833" t="s">
        <v>20</v>
      </c>
      <c r="L833" t="s">
        <v>2336</v>
      </c>
      <c r="M833" s="3" t="str">
        <f>HYPERLINK("..\..\Imagery\ScannedPhotos\1985\GM85-546.1.jpg")</f>
        <v>..\..\Imagery\ScannedPhotos\1985\GM85-546.1.jpg</v>
      </c>
    </row>
    <row r="834" spans="1:13" x14ac:dyDescent="0.25">
      <c r="A834" t="s">
        <v>2338</v>
      </c>
      <c r="B834">
        <v>498459</v>
      </c>
      <c r="C834">
        <v>5791161</v>
      </c>
      <c r="D834">
        <v>21</v>
      </c>
      <c r="E834" t="s">
        <v>15</v>
      </c>
      <c r="F834" t="s">
        <v>2339</v>
      </c>
      <c r="G834">
        <v>6</v>
      </c>
      <c r="H834" t="s">
        <v>2340</v>
      </c>
      <c r="I834" t="s">
        <v>114</v>
      </c>
      <c r="J834" t="s">
        <v>2341</v>
      </c>
      <c r="K834" t="s">
        <v>56</v>
      </c>
      <c r="L834" t="s">
        <v>772</v>
      </c>
      <c r="M834" s="3" t="str">
        <f>HYPERLINK("..\..\Imagery\ScannedPhotos\1992\HP92-082.6.jpg")</f>
        <v>..\..\Imagery\ScannedPhotos\1992\HP92-082.6.jpg</v>
      </c>
    </row>
    <row r="835" spans="1:13" x14ac:dyDescent="0.25">
      <c r="A835" t="s">
        <v>2342</v>
      </c>
      <c r="B835">
        <v>476292</v>
      </c>
      <c r="C835">
        <v>5811214</v>
      </c>
      <c r="D835">
        <v>21</v>
      </c>
      <c r="E835" t="s">
        <v>15</v>
      </c>
      <c r="F835" t="s">
        <v>2343</v>
      </c>
      <c r="G835">
        <v>1</v>
      </c>
      <c r="H835" t="s">
        <v>2344</v>
      </c>
      <c r="I835" t="s">
        <v>18</v>
      </c>
      <c r="J835" t="s">
        <v>2341</v>
      </c>
      <c r="K835" t="s">
        <v>56</v>
      </c>
      <c r="L835" t="s">
        <v>2345</v>
      </c>
      <c r="M835" s="3" t="str">
        <f>HYPERLINK("..\..\Imagery\ScannedPhotos\1992\JA92-024.2.jpg")</f>
        <v>..\..\Imagery\ScannedPhotos\1992\JA92-024.2.jpg</v>
      </c>
    </row>
    <row r="836" spans="1:13" x14ac:dyDescent="0.25">
      <c r="A836" t="s">
        <v>134</v>
      </c>
      <c r="B836">
        <v>582169</v>
      </c>
      <c r="C836">
        <v>5899769</v>
      </c>
      <c r="D836">
        <v>21</v>
      </c>
      <c r="E836" t="s">
        <v>15</v>
      </c>
      <c r="F836" t="s">
        <v>2346</v>
      </c>
      <c r="G836">
        <v>6</v>
      </c>
      <c r="H836" t="s">
        <v>136</v>
      </c>
      <c r="I836" t="s">
        <v>69</v>
      </c>
      <c r="J836" t="s">
        <v>138</v>
      </c>
      <c r="K836" t="s">
        <v>20</v>
      </c>
      <c r="L836" t="s">
        <v>2347</v>
      </c>
      <c r="M836" s="3" t="str">
        <f>HYPERLINK("..\..\Imagery\ScannedPhotos\1985\GM85-536.4.jpg")</f>
        <v>..\..\Imagery\ScannedPhotos\1985\GM85-536.4.jpg</v>
      </c>
    </row>
    <row r="837" spans="1:13" x14ac:dyDescent="0.25">
      <c r="A837" t="s">
        <v>2348</v>
      </c>
      <c r="B837">
        <v>493688</v>
      </c>
      <c r="C837">
        <v>5832496</v>
      </c>
      <c r="D837">
        <v>21</v>
      </c>
      <c r="E837" t="s">
        <v>15</v>
      </c>
      <c r="F837" t="s">
        <v>2349</v>
      </c>
      <c r="G837">
        <v>8</v>
      </c>
      <c r="H837" t="s">
        <v>968</v>
      </c>
      <c r="I837" t="s">
        <v>41</v>
      </c>
      <c r="J837" t="s">
        <v>42</v>
      </c>
      <c r="K837" t="s">
        <v>56</v>
      </c>
      <c r="L837" t="s">
        <v>2350</v>
      </c>
      <c r="M837" s="3" t="str">
        <f>HYPERLINK("..\..\Imagery\ScannedPhotos\1991\VN91-001.8.jpg")</f>
        <v>..\..\Imagery\ScannedPhotos\1991\VN91-001.8.jpg</v>
      </c>
    </row>
    <row r="838" spans="1:13" x14ac:dyDescent="0.25">
      <c r="A838" t="s">
        <v>2348</v>
      </c>
      <c r="B838">
        <v>493688</v>
      </c>
      <c r="C838">
        <v>5832496</v>
      </c>
      <c r="D838">
        <v>21</v>
      </c>
      <c r="E838" t="s">
        <v>15</v>
      </c>
      <c r="F838" t="s">
        <v>2351</v>
      </c>
      <c r="G838">
        <v>8</v>
      </c>
      <c r="H838" t="s">
        <v>968</v>
      </c>
      <c r="I838" t="s">
        <v>74</v>
      </c>
      <c r="J838" t="s">
        <v>42</v>
      </c>
      <c r="K838" t="s">
        <v>56</v>
      </c>
      <c r="L838" t="s">
        <v>2352</v>
      </c>
      <c r="M838" s="3" t="str">
        <f>HYPERLINK("..\..\Imagery\ScannedPhotos\1991\VN91-001.7.jpg")</f>
        <v>..\..\Imagery\ScannedPhotos\1991\VN91-001.7.jpg</v>
      </c>
    </row>
    <row r="839" spans="1:13" x14ac:dyDescent="0.25">
      <c r="A839" t="s">
        <v>2353</v>
      </c>
      <c r="B839">
        <v>537821</v>
      </c>
      <c r="C839">
        <v>5728574</v>
      </c>
      <c r="D839">
        <v>21</v>
      </c>
      <c r="E839" t="s">
        <v>15</v>
      </c>
      <c r="F839" t="s">
        <v>2354</v>
      </c>
      <c r="G839">
        <v>4</v>
      </c>
      <c r="H839" t="s">
        <v>2355</v>
      </c>
      <c r="I839" t="s">
        <v>147</v>
      </c>
      <c r="J839" t="s">
        <v>886</v>
      </c>
      <c r="K839" t="s">
        <v>20</v>
      </c>
      <c r="L839" t="s">
        <v>2356</v>
      </c>
      <c r="M839" s="3" t="str">
        <f>HYPERLINK("..\..\Imagery\ScannedPhotos\1993\VN93-093.2.jpg")</f>
        <v>..\..\Imagery\ScannedPhotos\1993\VN93-093.2.jpg</v>
      </c>
    </row>
    <row r="840" spans="1:13" x14ac:dyDescent="0.25">
      <c r="A840" t="s">
        <v>993</v>
      </c>
      <c r="B840">
        <v>525211</v>
      </c>
      <c r="C840">
        <v>5743163</v>
      </c>
      <c r="D840">
        <v>21</v>
      </c>
      <c r="E840" t="s">
        <v>15</v>
      </c>
      <c r="F840" t="s">
        <v>2357</v>
      </c>
      <c r="G840">
        <v>7</v>
      </c>
      <c r="H840" t="s">
        <v>995</v>
      </c>
      <c r="I840" t="s">
        <v>143</v>
      </c>
      <c r="J840" t="s">
        <v>996</v>
      </c>
      <c r="K840" t="s">
        <v>56</v>
      </c>
      <c r="L840" t="s">
        <v>997</v>
      </c>
      <c r="M840" s="3" t="str">
        <f>HYPERLINK("..\..\Imagery\ScannedPhotos\1993\CG93-698.4.jpg")</f>
        <v>..\..\Imagery\ScannedPhotos\1993\CG93-698.4.jpg</v>
      </c>
    </row>
    <row r="841" spans="1:13" x14ac:dyDescent="0.25">
      <c r="A841" t="s">
        <v>2056</v>
      </c>
      <c r="B841">
        <v>447200</v>
      </c>
      <c r="C841">
        <v>5924550</v>
      </c>
      <c r="D841">
        <v>21</v>
      </c>
      <c r="E841" t="s">
        <v>15</v>
      </c>
      <c r="F841" t="s">
        <v>2358</v>
      </c>
      <c r="G841">
        <v>7</v>
      </c>
      <c r="H841" t="s">
        <v>1604</v>
      </c>
      <c r="I841" t="s">
        <v>137</v>
      </c>
      <c r="J841" t="s">
        <v>1605</v>
      </c>
      <c r="K841" t="s">
        <v>20</v>
      </c>
      <c r="L841" t="s">
        <v>2060</v>
      </c>
      <c r="M841" s="3" t="str">
        <f>HYPERLINK("..\..\Imagery\ScannedPhotos\1985\CG85-309.3.jpg")</f>
        <v>..\..\Imagery\ScannedPhotos\1985\CG85-309.3.jpg</v>
      </c>
    </row>
    <row r="842" spans="1:13" x14ac:dyDescent="0.25">
      <c r="A842" t="s">
        <v>2056</v>
      </c>
      <c r="B842">
        <v>447200</v>
      </c>
      <c r="C842">
        <v>5924550</v>
      </c>
      <c r="D842">
        <v>21</v>
      </c>
      <c r="E842" t="s">
        <v>15</v>
      </c>
      <c r="F842" t="s">
        <v>2359</v>
      </c>
      <c r="G842">
        <v>7</v>
      </c>
      <c r="H842" t="s">
        <v>1604</v>
      </c>
      <c r="I842" t="s">
        <v>35</v>
      </c>
      <c r="J842" t="s">
        <v>1605</v>
      </c>
      <c r="K842" t="s">
        <v>20</v>
      </c>
      <c r="L842" t="s">
        <v>2058</v>
      </c>
      <c r="M842" s="3" t="str">
        <f>HYPERLINK("..\..\Imagery\ScannedPhotos\1985\CG85-309.5.jpg")</f>
        <v>..\..\Imagery\ScannedPhotos\1985\CG85-309.5.jpg</v>
      </c>
    </row>
    <row r="843" spans="1:13" x14ac:dyDescent="0.25">
      <c r="A843" t="s">
        <v>1867</v>
      </c>
      <c r="B843">
        <v>501450</v>
      </c>
      <c r="C843">
        <v>5899250</v>
      </c>
      <c r="D843">
        <v>21</v>
      </c>
      <c r="E843" t="s">
        <v>15</v>
      </c>
      <c r="F843" t="s">
        <v>2360</v>
      </c>
      <c r="G843">
        <v>5</v>
      </c>
      <c r="H843" t="s">
        <v>1604</v>
      </c>
      <c r="I843" t="s">
        <v>375</v>
      </c>
      <c r="J843" t="s">
        <v>1605</v>
      </c>
      <c r="K843" t="s">
        <v>20</v>
      </c>
      <c r="L843" t="s">
        <v>1869</v>
      </c>
      <c r="M843" s="3" t="str">
        <f>HYPERLINK("..\..\Imagery\ScannedPhotos\1985\CG85-310.3.jpg")</f>
        <v>..\..\Imagery\ScannedPhotos\1985\CG85-310.3.jpg</v>
      </c>
    </row>
    <row r="844" spans="1:13" x14ac:dyDescent="0.25">
      <c r="A844" t="s">
        <v>1867</v>
      </c>
      <c r="B844">
        <v>501450</v>
      </c>
      <c r="C844">
        <v>5899250</v>
      </c>
      <c r="D844">
        <v>21</v>
      </c>
      <c r="E844" t="s">
        <v>15</v>
      </c>
      <c r="F844" t="s">
        <v>2361</v>
      </c>
      <c r="G844">
        <v>5</v>
      </c>
      <c r="H844" t="s">
        <v>1604</v>
      </c>
      <c r="I844" t="s">
        <v>209</v>
      </c>
      <c r="J844" t="s">
        <v>1605</v>
      </c>
      <c r="K844" t="s">
        <v>20</v>
      </c>
      <c r="L844" t="s">
        <v>2362</v>
      </c>
      <c r="M844" s="3" t="str">
        <f>HYPERLINK("..\..\Imagery\ScannedPhotos\1985\CG85-310.5.jpg")</f>
        <v>..\..\Imagery\ScannedPhotos\1985\CG85-310.5.jpg</v>
      </c>
    </row>
    <row r="845" spans="1:13" x14ac:dyDescent="0.25">
      <c r="A845" t="s">
        <v>1867</v>
      </c>
      <c r="B845">
        <v>501450</v>
      </c>
      <c r="C845">
        <v>5899250</v>
      </c>
      <c r="D845">
        <v>21</v>
      </c>
      <c r="E845" t="s">
        <v>15</v>
      </c>
      <c r="F845" t="s">
        <v>2363</v>
      </c>
      <c r="G845">
        <v>5</v>
      </c>
      <c r="H845" t="s">
        <v>1604</v>
      </c>
      <c r="I845" t="s">
        <v>94</v>
      </c>
      <c r="J845" t="s">
        <v>1605</v>
      </c>
      <c r="K845" t="s">
        <v>20</v>
      </c>
      <c r="L845" t="s">
        <v>2364</v>
      </c>
      <c r="M845" s="3" t="str">
        <f>HYPERLINK("..\..\Imagery\ScannedPhotos\1985\CG85-310.4.jpg")</f>
        <v>..\..\Imagery\ScannedPhotos\1985\CG85-310.4.jpg</v>
      </c>
    </row>
    <row r="846" spans="1:13" x14ac:dyDescent="0.25">
      <c r="A846" t="s">
        <v>1867</v>
      </c>
      <c r="B846">
        <v>501450</v>
      </c>
      <c r="C846">
        <v>5899250</v>
      </c>
      <c r="D846">
        <v>21</v>
      </c>
      <c r="E846" t="s">
        <v>15</v>
      </c>
      <c r="F846" t="s">
        <v>2365</v>
      </c>
      <c r="G846">
        <v>5</v>
      </c>
      <c r="H846" t="s">
        <v>1604</v>
      </c>
      <c r="I846" t="s">
        <v>41</v>
      </c>
      <c r="J846" t="s">
        <v>1605</v>
      </c>
      <c r="K846" t="s">
        <v>20</v>
      </c>
      <c r="L846" t="s">
        <v>1869</v>
      </c>
      <c r="M846" s="3" t="str">
        <f>HYPERLINK("..\..\Imagery\ScannedPhotos\1985\CG85-310.1.jpg")</f>
        <v>..\..\Imagery\ScannedPhotos\1985\CG85-310.1.jpg</v>
      </c>
    </row>
    <row r="847" spans="1:13" x14ac:dyDescent="0.25">
      <c r="A847" t="s">
        <v>2366</v>
      </c>
      <c r="B847">
        <v>418701</v>
      </c>
      <c r="C847">
        <v>5866166</v>
      </c>
      <c r="D847">
        <v>21</v>
      </c>
      <c r="E847" t="s">
        <v>15</v>
      </c>
      <c r="F847" t="s">
        <v>2367</v>
      </c>
      <c r="G847">
        <v>2</v>
      </c>
      <c r="K847" t="s">
        <v>56</v>
      </c>
      <c r="L847" t="s">
        <v>2368</v>
      </c>
      <c r="M847" s="3" t="str">
        <f>HYPERLINK("..\..\Imagery\ScannedPhotos\2007\CG07-001.1.jpg")</f>
        <v>..\..\Imagery\ScannedPhotos\2007\CG07-001.1.jpg</v>
      </c>
    </row>
    <row r="848" spans="1:13" x14ac:dyDescent="0.25">
      <c r="A848" t="s">
        <v>2366</v>
      </c>
      <c r="B848">
        <v>418701</v>
      </c>
      <c r="C848">
        <v>5866166</v>
      </c>
      <c r="D848">
        <v>21</v>
      </c>
      <c r="E848" t="s">
        <v>15</v>
      </c>
      <c r="F848" t="s">
        <v>2369</v>
      </c>
      <c r="G848">
        <v>2</v>
      </c>
      <c r="K848" t="s">
        <v>56</v>
      </c>
      <c r="L848" t="s">
        <v>2370</v>
      </c>
      <c r="M848" s="3" t="str">
        <f>HYPERLINK("..\..\Imagery\ScannedPhotos\2007\CG07-001.2.jpg")</f>
        <v>..\..\Imagery\ScannedPhotos\2007\CG07-001.2.jpg</v>
      </c>
    </row>
    <row r="849" spans="1:13" x14ac:dyDescent="0.25">
      <c r="A849" t="s">
        <v>2371</v>
      </c>
      <c r="B849">
        <v>464837</v>
      </c>
      <c r="C849">
        <v>5937406</v>
      </c>
      <c r="D849">
        <v>21</v>
      </c>
      <c r="E849" t="s">
        <v>15</v>
      </c>
      <c r="F849" t="s">
        <v>2372</v>
      </c>
      <c r="G849">
        <v>3</v>
      </c>
      <c r="H849" t="s">
        <v>1188</v>
      </c>
      <c r="I849" t="s">
        <v>360</v>
      </c>
      <c r="J849" t="s">
        <v>48</v>
      </c>
      <c r="K849" t="s">
        <v>228</v>
      </c>
      <c r="L849" t="s">
        <v>2373</v>
      </c>
      <c r="M849" s="3" t="str">
        <f>HYPERLINK("..\..\Imagery\ScannedPhotos\1981\CG81-283.3.jpg")</f>
        <v>..\..\Imagery\ScannedPhotos\1981\CG81-283.3.jpg</v>
      </c>
    </row>
    <row r="850" spans="1:13" x14ac:dyDescent="0.25">
      <c r="A850" t="s">
        <v>2371</v>
      </c>
      <c r="B850">
        <v>464837</v>
      </c>
      <c r="C850">
        <v>5937406</v>
      </c>
      <c r="D850">
        <v>21</v>
      </c>
      <c r="E850" t="s">
        <v>15</v>
      </c>
      <c r="F850" t="s">
        <v>2374</v>
      </c>
      <c r="G850">
        <v>33</v>
      </c>
      <c r="H850" t="s">
        <v>1188</v>
      </c>
      <c r="I850" t="s">
        <v>195</v>
      </c>
      <c r="J850" t="s">
        <v>48</v>
      </c>
      <c r="K850" t="s">
        <v>228</v>
      </c>
      <c r="L850" t="s">
        <v>2375</v>
      </c>
      <c r="M850" s="3" t="str">
        <f>HYPERLINK("..\..\Imagery\ScannedPhotos\1981\CG81-283.1.jpg")</f>
        <v>..\..\Imagery\ScannedPhotos\1981\CG81-283.1.jpg</v>
      </c>
    </row>
    <row r="851" spans="1:13" x14ac:dyDescent="0.25">
      <c r="A851" t="s">
        <v>2371</v>
      </c>
      <c r="B851">
        <v>464837</v>
      </c>
      <c r="C851">
        <v>5937406</v>
      </c>
      <c r="D851">
        <v>21</v>
      </c>
      <c r="E851" t="s">
        <v>15</v>
      </c>
      <c r="F851" t="s">
        <v>2376</v>
      </c>
      <c r="G851">
        <v>3</v>
      </c>
      <c r="H851" t="s">
        <v>1188</v>
      </c>
      <c r="I851" t="s">
        <v>25</v>
      </c>
      <c r="J851" t="s">
        <v>48</v>
      </c>
      <c r="K851" t="s">
        <v>228</v>
      </c>
      <c r="L851" t="s">
        <v>2377</v>
      </c>
      <c r="M851" s="3" t="str">
        <f>HYPERLINK("..\..\Imagery\ScannedPhotos\1981\CG81-283.2.jpg")</f>
        <v>..\..\Imagery\ScannedPhotos\1981\CG81-283.2.jpg</v>
      </c>
    </row>
    <row r="852" spans="1:13" x14ac:dyDescent="0.25">
      <c r="A852" t="s">
        <v>2378</v>
      </c>
      <c r="B852">
        <v>322781</v>
      </c>
      <c r="C852">
        <v>5799704</v>
      </c>
      <c r="D852">
        <v>21</v>
      </c>
      <c r="E852" t="s">
        <v>15</v>
      </c>
      <c r="F852" t="s">
        <v>2379</v>
      </c>
      <c r="G852">
        <v>1</v>
      </c>
      <c r="H852" t="s">
        <v>78</v>
      </c>
      <c r="I852" t="s">
        <v>281</v>
      </c>
      <c r="J852" t="s">
        <v>80</v>
      </c>
      <c r="K852" t="s">
        <v>20</v>
      </c>
      <c r="L852" t="s">
        <v>2380</v>
      </c>
      <c r="M852" s="3" t="str">
        <f>HYPERLINK("..\..\Imagery\ScannedPhotos\2000\CG00-145.jpg")</f>
        <v>..\..\Imagery\ScannedPhotos\2000\CG00-145.jpg</v>
      </c>
    </row>
    <row r="853" spans="1:13" x14ac:dyDescent="0.25">
      <c r="A853" t="s">
        <v>2381</v>
      </c>
      <c r="B853">
        <v>326487</v>
      </c>
      <c r="C853">
        <v>5794901</v>
      </c>
      <c r="D853">
        <v>21</v>
      </c>
      <c r="E853" t="s">
        <v>15</v>
      </c>
      <c r="F853" t="s">
        <v>2382</v>
      </c>
      <c r="G853">
        <v>1</v>
      </c>
      <c r="H853" t="s">
        <v>78</v>
      </c>
      <c r="I853" t="s">
        <v>137</v>
      </c>
      <c r="J853" t="s">
        <v>80</v>
      </c>
      <c r="K853" t="s">
        <v>56</v>
      </c>
      <c r="L853" t="s">
        <v>2383</v>
      </c>
      <c r="M853" s="3" t="str">
        <f>HYPERLINK("..\..\Imagery\ScannedPhotos\2000\CG00-146.jpg")</f>
        <v>..\..\Imagery\ScannedPhotos\2000\CG00-146.jpg</v>
      </c>
    </row>
    <row r="854" spans="1:13" x14ac:dyDescent="0.25">
      <c r="A854" t="s">
        <v>2384</v>
      </c>
      <c r="B854">
        <v>331116</v>
      </c>
      <c r="C854">
        <v>5788637</v>
      </c>
      <c r="D854">
        <v>21</v>
      </c>
      <c r="E854" t="s">
        <v>15</v>
      </c>
      <c r="F854" t="s">
        <v>2385</v>
      </c>
      <c r="G854">
        <v>4</v>
      </c>
      <c r="H854" t="s">
        <v>78</v>
      </c>
      <c r="I854" t="s">
        <v>18</v>
      </c>
      <c r="J854" t="s">
        <v>80</v>
      </c>
      <c r="K854" t="s">
        <v>20</v>
      </c>
      <c r="L854" t="s">
        <v>2386</v>
      </c>
      <c r="M854" s="3" t="str">
        <f>HYPERLINK("..\..\Imagery\ScannedPhotos\2000\CG00-147.1.jpg")</f>
        <v>..\..\Imagery\ScannedPhotos\2000\CG00-147.1.jpg</v>
      </c>
    </row>
    <row r="855" spans="1:13" x14ac:dyDescent="0.25">
      <c r="A855" t="s">
        <v>2387</v>
      </c>
      <c r="B855">
        <v>476316</v>
      </c>
      <c r="C855">
        <v>5785511</v>
      </c>
      <c r="D855">
        <v>21</v>
      </c>
      <c r="E855" t="s">
        <v>15</v>
      </c>
      <c r="F855" t="s">
        <v>2388</v>
      </c>
      <c r="G855">
        <v>2</v>
      </c>
      <c r="H855" t="s">
        <v>1163</v>
      </c>
      <c r="I855" t="s">
        <v>25</v>
      </c>
      <c r="J855" t="s">
        <v>814</v>
      </c>
      <c r="K855" t="s">
        <v>56</v>
      </c>
      <c r="L855" t="s">
        <v>2389</v>
      </c>
      <c r="M855" s="3" t="str">
        <f>HYPERLINK("..\..\Imagery\ScannedPhotos\1992\VN92-141.2.jpg")</f>
        <v>..\..\Imagery\ScannedPhotos\1992\VN92-141.2.jpg</v>
      </c>
    </row>
    <row r="856" spans="1:13" x14ac:dyDescent="0.25">
      <c r="A856" t="s">
        <v>2390</v>
      </c>
      <c r="B856">
        <v>475992</v>
      </c>
      <c r="C856">
        <v>5784147</v>
      </c>
      <c r="D856">
        <v>21</v>
      </c>
      <c r="E856" t="s">
        <v>15</v>
      </c>
      <c r="F856" t="s">
        <v>2391</v>
      </c>
      <c r="G856">
        <v>1</v>
      </c>
      <c r="H856" t="s">
        <v>1163</v>
      </c>
      <c r="I856" t="s">
        <v>360</v>
      </c>
      <c r="J856" t="s">
        <v>814</v>
      </c>
      <c r="K856" t="s">
        <v>56</v>
      </c>
      <c r="L856" t="s">
        <v>2392</v>
      </c>
      <c r="M856" s="3" t="str">
        <f>HYPERLINK("..\..\Imagery\ScannedPhotos\1992\VN92-142.jpg")</f>
        <v>..\..\Imagery\ScannedPhotos\1992\VN92-142.jpg</v>
      </c>
    </row>
    <row r="857" spans="1:13" x14ac:dyDescent="0.25">
      <c r="A857" t="s">
        <v>2393</v>
      </c>
      <c r="B857">
        <v>458000</v>
      </c>
      <c r="C857">
        <v>5884992</v>
      </c>
      <c r="D857">
        <v>21</v>
      </c>
      <c r="E857" t="s">
        <v>15</v>
      </c>
      <c r="F857" t="s">
        <v>2394</v>
      </c>
      <c r="G857">
        <v>2</v>
      </c>
      <c r="H857" t="s">
        <v>2395</v>
      </c>
      <c r="I857" t="s">
        <v>222</v>
      </c>
      <c r="J857" t="s">
        <v>2247</v>
      </c>
      <c r="K857" t="s">
        <v>20</v>
      </c>
      <c r="L857" t="s">
        <v>2396</v>
      </c>
      <c r="M857" s="3" t="str">
        <f>HYPERLINK("..\..\Imagery\ScannedPhotos\1984\VN84-506.2.jpg")</f>
        <v>..\..\Imagery\ScannedPhotos\1984\VN84-506.2.jpg</v>
      </c>
    </row>
    <row r="858" spans="1:13" x14ac:dyDescent="0.25">
      <c r="A858" t="s">
        <v>1226</v>
      </c>
      <c r="B858">
        <v>587320</v>
      </c>
      <c r="C858">
        <v>5789489</v>
      </c>
      <c r="D858">
        <v>21</v>
      </c>
      <c r="E858" t="s">
        <v>15</v>
      </c>
      <c r="F858" t="s">
        <v>2397</v>
      </c>
      <c r="G858">
        <v>2</v>
      </c>
      <c r="H858" t="s">
        <v>1051</v>
      </c>
      <c r="I858" t="s">
        <v>418</v>
      </c>
      <c r="J858" t="s">
        <v>1052</v>
      </c>
      <c r="K858" t="s">
        <v>20</v>
      </c>
      <c r="L858" t="s">
        <v>2398</v>
      </c>
      <c r="M858" s="3" t="str">
        <f>HYPERLINK("..\..\Imagery\ScannedPhotos\1987\VN87-449.2.jpg")</f>
        <v>..\..\Imagery\ScannedPhotos\1987\VN87-449.2.jpg</v>
      </c>
    </row>
    <row r="859" spans="1:13" x14ac:dyDescent="0.25">
      <c r="A859" t="s">
        <v>2399</v>
      </c>
      <c r="B859">
        <v>506167</v>
      </c>
      <c r="C859">
        <v>5840707</v>
      </c>
      <c r="D859">
        <v>21</v>
      </c>
      <c r="E859" t="s">
        <v>15</v>
      </c>
      <c r="F859" t="s">
        <v>2400</v>
      </c>
      <c r="G859">
        <v>2</v>
      </c>
      <c r="H859" t="s">
        <v>2130</v>
      </c>
      <c r="I859" t="s">
        <v>18</v>
      </c>
      <c r="J859" t="s">
        <v>300</v>
      </c>
      <c r="K859" t="s">
        <v>20</v>
      </c>
      <c r="L859" t="s">
        <v>642</v>
      </c>
      <c r="M859" s="3" t="str">
        <f>HYPERLINK("..\..\Imagery\ScannedPhotos\1986\JS86-258.1.jpg")</f>
        <v>..\..\Imagery\ScannedPhotos\1986\JS86-258.1.jpg</v>
      </c>
    </row>
    <row r="860" spans="1:13" x14ac:dyDescent="0.25">
      <c r="A860" t="s">
        <v>2399</v>
      </c>
      <c r="B860">
        <v>506167</v>
      </c>
      <c r="C860">
        <v>5840707</v>
      </c>
      <c r="D860">
        <v>21</v>
      </c>
      <c r="E860" t="s">
        <v>15</v>
      </c>
      <c r="F860" t="s">
        <v>2401</v>
      </c>
      <c r="G860">
        <v>2</v>
      </c>
      <c r="H860" t="s">
        <v>2130</v>
      </c>
      <c r="I860" t="s">
        <v>35</v>
      </c>
      <c r="J860" t="s">
        <v>300</v>
      </c>
      <c r="K860" t="s">
        <v>20</v>
      </c>
      <c r="L860" t="s">
        <v>642</v>
      </c>
      <c r="M860" s="3" t="str">
        <f>HYPERLINK("..\..\Imagery\ScannedPhotos\1986\JS86-258.2.jpg")</f>
        <v>..\..\Imagery\ScannedPhotos\1986\JS86-258.2.jpg</v>
      </c>
    </row>
    <row r="861" spans="1:13" x14ac:dyDescent="0.25">
      <c r="A861" t="s">
        <v>2402</v>
      </c>
      <c r="B861">
        <v>504829</v>
      </c>
      <c r="C861">
        <v>5839441</v>
      </c>
      <c r="D861">
        <v>21</v>
      </c>
      <c r="E861" t="s">
        <v>15</v>
      </c>
      <c r="F861" t="s">
        <v>2403</v>
      </c>
      <c r="G861">
        <v>1</v>
      </c>
      <c r="H861" t="s">
        <v>2130</v>
      </c>
      <c r="I861" t="s">
        <v>69</v>
      </c>
      <c r="J861" t="s">
        <v>300</v>
      </c>
      <c r="K861" t="s">
        <v>20</v>
      </c>
      <c r="L861" t="s">
        <v>2404</v>
      </c>
      <c r="M861" s="3" t="str">
        <f>HYPERLINK("..\..\Imagery\ScannedPhotos\1986\JS86-261.jpg")</f>
        <v>..\..\Imagery\ScannedPhotos\1986\JS86-261.jpg</v>
      </c>
    </row>
    <row r="862" spans="1:13" x14ac:dyDescent="0.25">
      <c r="A862" t="s">
        <v>2405</v>
      </c>
      <c r="B862">
        <v>490752</v>
      </c>
      <c r="C862">
        <v>5941885</v>
      </c>
      <c r="D862">
        <v>21</v>
      </c>
      <c r="E862" t="s">
        <v>15</v>
      </c>
      <c r="F862" t="s">
        <v>2406</v>
      </c>
      <c r="G862">
        <v>3</v>
      </c>
      <c r="H862" t="s">
        <v>142</v>
      </c>
      <c r="I862" t="s">
        <v>647</v>
      </c>
      <c r="J862" t="s">
        <v>144</v>
      </c>
      <c r="K862" t="s">
        <v>56</v>
      </c>
      <c r="L862" t="s">
        <v>2407</v>
      </c>
      <c r="M862" s="3" t="str">
        <f>HYPERLINK("..\..\Imagery\ScannedPhotos\1977\MC77-017.2.jpg")</f>
        <v>..\..\Imagery\ScannedPhotos\1977\MC77-017.2.jpg</v>
      </c>
    </row>
    <row r="863" spans="1:13" x14ac:dyDescent="0.25">
      <c r="A863" t="s">
        <v>2405</v>
      </c>
      <c r="B863">
        <v>490752</v>
      </c>
      <c r="C863">
        <v>5941885</v>
      </c>
      <c r="D863">
        <v>21</v>
      </c>
      <c r="E863" t="s">
        <v>15</v>
      </c>
      <c r="F863" t="s">
        <v>2408</v>
      </c>
      <c r="G863">
        <v>3</v>
      </c>
      <c r="H863" t="s">
        <v>142</v>
      </c>
      <c r="I863" t="s">
        <v>30</v>
      </c>
      <c r="J863" t="s">
        <v>144</v>
      </c>
      <c r="K863" t="s">
        <v>20</v>
      </c>
      <c r="L863" t="s">
        <v>2409</v>
      </c>
      <c r="M863" s="3" t="str">
        <f>HYPERLINK("..\..\Imagery\ScannedPhotos\1977\MC77-017.3.jpg")</f>
        <v>..\..\Imagery\ScannedPhotos\1977\MC77-017.3.jpg</v>
      </c>
    </row>
    <row r="864" spans="1:13" x14ac:dyDescent="0.25">
      <c r="A864" t="s">
        <v>2410</v>
      </c>
      <c r="B864">
        <v>570206</v>
      </c>
      <c r="C864">
        <v>5885620</v>
      </c>
      <c r="D864">
        <v>21</v>
      </c>
      <c r="E864" t="s">
        <v>15</v>
      </c>
      <c r="F864" t="s">
        <v>2411</v>
      </c>
      <c r="G864">
        <v>1</v>
      </c>
      <c r="H864" t="s">
        <v>2412</v>
      </c>
      <c r="I864" t="s">
        <v>375</v>
      </c>
      <c r="J864" t="s">
        <v>1463</v>
      </c>
      <c r="K864" t="s">
        <v>20</v>
      </c>
      <c r="L864" t="s">
        <v>642</v>
      </c>
      <c r="M864" s="3" t="str">
        <f>HYPERLINK("..\..\Imagery\ScannedPhotos\1985\GM85-502.jpg")</f>
        <v>..\..\Imagery\ScannedPhotos\1985\GM85-502.jpg</v>
      </c>
    </row>
    <row r="865" spans="1:13" x14ac:dyDescent="0.25">
      <c r="A865" t="s">
        <v>2413</v>
      </c>
      <c r="B865">
        <v>570462</v>
      </c>
      <c r="C865">
        <v>5885886</v>
      </c>
      <c r="D865">
        <v>21</v>
      </c>
      <c r="E865" t="s">
        <v>15</v>
      </c>
      <c r="F865" t="s">
        <v>2414</v>
      </c>
      <c r="G865">
        <v>5</v>
      </c>
      <c r="H865" t="s">
        <v>2412</v>
      </c>
      <c r="I865" t="s">
        <v>304</v>
      </c>
      <c r="J865" t="s">
        <v>1463</v>
      </c>
      <c r="K865" t="s">
        <v>56</v>
      </c>
      <c r="L865" t="s">
        <v>2415</v>
      </c>
      <c r="M865" s="3" t="str">
        <f>HYPERLINK("..\..\Imagery\ScannedPhotos\1985\GM85-503.5.jpg")</f>
        <v>..\..\Imagery\ScannedPhotos\1985\GM85-503.5.jpg</v>
      </c>
    </row>
    <row r="866" spans="1:13" x14ac:dyDescent="0.25">
      <c r="A866" t="s">
        <v>2416</v>
      </c>
      <c r="B866">
        <v>524211</v>
      </c>
      <c r="C866">
        <v>5720464</v>
      </c>
      <c r="D866">
        <v>21</v>
      </c>
      <c r="E866" t="s">
        <v>15</v>
      </c>
      <c r="F866" t="s">
        <v>2417</v>
      </c>
      <c r="G866">
        <v>1</v>
      </c>
      <c r="H866" t="s">
        <v>2418</v>
      </c>
      <c r="I866" t="s">
        <v>647</v>
      </c>
      <c r="J866" t="s">
        <v>570</v>
      </c>
      <c r="K866" t="s">
        <v>20</v>
      </c>
      <c r="L866" t="s">
        <v>2419</v>
      </c>
      <c r="M866" s="3" t="str">
        <f>HYPERLINK("..\..\Imagery\ScannedPhotos\1993\VN93-109.jpg")</f>
        <v>..\..\Imagery\ScannedPhotos\1993\VN93-109.jpg</v>
      </c>
    </row>
    <row r="867" spans="1:13" x14ac:dyDescent="0.25">
      <c r="A867" t="s">
        <v>2420</v>
      </c>
      <c r="B867">
        <v>518200</v>
      </c>
      <c r="C867">
        <v>5727677</v>
      </c>
      <c r="D867">
        <v>21</v>
      </c>
      <c r="E867" t="s">
        <v>15</v>
      </c>
      <c r="F867" t="s">
        <v>2421</v>
      </c>
      <c r="G867">
        <v>1</v>
      </c>
      <c r="H867" t="s">
        <v>2418</v>
      </c>
      <c r="I867" t="s">
        <v>114</v>
      </c>
      <c r="J867" t="s">
        <v>570</v>
      </c>
      <c r="K867" t="s">
        <v>56</v>
      </c>
      <c r="L867" t="s">
        <v>2422</v>
      </c>
      <c r="M867" s="3" t="str">
        <f>HYPERLINK("..\..\Imagery\ScannedPhotos\1993\VN93-141.jpg")</f>
        <v>..\..\Imagery\ScannedPhotos\1993\VN93-141.jpg</v>
      </c>
    </row>
    <row r="868" spans="1:13" x14ac:dyDescent="0.25">
      <c r="A868" t="s">
        <v>2423</v>
      </c>
      <c r="B868">
        <v>519831</v>
      </c>
      <c r="C868">
        <v>5727934</v>
      </c>
      <c r="D868">
        <v>21</v>
      </c>
      <c r="E868" t="s">
        <v>15</v>
      </c>
      <c r="F868" t="s">
        <v>2424</v>
      </c>
      <c r="G868">
        <v>1</v>
      </c>
      <c r="H868" t="s">
        <v>2418</v>
      </c>
      <c r="I868" t="s">
        <v>119</v>
      </c>
      <c r="J868" t="s">
        <v>570</v>
      </c>
      <c r="K868" t="s">
        <v>56</v>
      </c>
      <c r="L868" t="s">
        <v>2425</v>
      </c>
      <c r="M868" s="3" t="str">
        <f>HYPERLINK("..\..\Imagery\ScannedPhotos\1993\VN93-145.jpg")</f>
        <v>..\..\Imagery\ScannedPhotos\1993\VN93-145.jpg</v>
      </c>
    </row>
    <row r="869" spans="1:13" x14ac:dyDescent="0.25">
      <c r="A869" t="s">
        <v>2426</v>
      </c>
      <c r="B869">
        <v>518304</v>
      </c>
      <c r="C869">
        <v>5720749</v>
      </c>
      <c r="D869">
        <v>21</v>
      </c>
      <c r="E869" t="s">
        <v>15</v>
      </c>
      <c r="F869" t="s">
        <v>2427</v>
      </c>
      <c r="G869">
        <v>1</v>
      </c>
      <c r="H869" t="s">
        <v>2418</v>
      </c>
      <c r="I869" t="s">
        <v>126</v>
      </c>
      <c r="J869" t="s">
        <v>570</v>
      </c>
      <c r="K869" t="s">
        <v>20</v>
      </c>
      <c r="L869" t="s">
        <v>2428</v>
      </c>
      <c r="M869" s="3" t="str">
        <f>HYPERLINK("..\..\Imagery\ScannedPhotos\1993\VN93-150.jpg")</f>
        <v>..\..\Imagery\ScannedPhotos\1993\VN93-150.jpg</v>
      </c>
    </row>
    <row r="870" spans="1:13" x14ac:dyDescent="0.25">
      <c r="A870" t="s">
        <v>2429</v>
      </c>
      <c r="B870">
        <v>322109</v>
      </c>
      <c r="C870">
        <v>6004318</v>
      </c>
      <c r="D870">
        <v>21</v>
      </c>
      <c r="E870" t="s">
        <v>15</v>
      </c>
      <c r="F870" t="s">
        <v>2430</v>
      </c>
      <c r="G870">
        <v>2</v>
      </c>
      <c r="H870" t="s">
        <v>2431</v>
      </c>
      <c r="I870" t="s">
        <v>119</v>
      </c>
      <c r="J870" t="s">
        <v>269</v>
      </c>
      <c r="K870" t="s">
        <v>20</v>
      </c>
      <c r="L870" t="s">
        <v>2432</v>
      </c>
      <c r="M870" s="3" t="str">
        <f>HYPERLINK("..\..\Imagery\ScannedPhotos\1983\CG83-312.2.jpg")</f>
        <v>..\..\Imagery\ScannedPhotos\1983\CG83-312.2.jpg</v>
      </c>
    </row>
    <row r="871" spans="1:13" x14ac:dyDescent="0.25">
      <c r="A871" t="s">
        <v>2429</v>
      </c>
      <c r="B871">
        <v>322109</v>
      </c>
      <c r="C871">
        <v>6004318</v>
      </c>
      <c r="D871">
        <v>21</v>
      </c>
      <c r="E871" t="s">
        <v>15</v>
      </c>
      <c r="F871" t="s">
        <v>2433</v>
      </c>
      <c r="G871">
        <v>2</v>
      </c>
      <c r="H871" t="s">
        <v>2431</v>
      </c>
      <c r="I871" t="s">
        <v>114</v>
      </c>
      <c r="J871" t="s">
        <v>269</v>
      </c>
      <c r="K871" t="s">
        <v>20</v>
      </c>
      <c r="L871" t="s">
        <v>2432</v>
      </c>
      <c r="M871" s="3" t="str">
        <f>HYPERLINK("..\..\Imagery\ScannedPhotos\1983\CG83-312.1.jpg")</f>
        <v>..\..\Imagery\ScannedPhotos\1983\CG83-312.1.jpg</v>
      </c>
    </row>
    <row r="872" spans="1:13" x14ac:dyDescent="0.25">
      <c r="A872" t="s">
        <v>2434</v>
      </c>
      <c r="B872">
        <v>467711</v>
      </c>
      <c r="C872">
        <v>6005520</v>
      </c>
      <c r="D872">
        <v>21</v>
      </c>
      <c r="E872" t="s">
        <v>15</v>
      </c>
      <c r="F872" t="s">
        <v>2435</v>
      </c>
      <c r="G872">
        <v>2</v>
      </c>
      <c r="H872" t="s">
        <v>1636</v>
      </c>
      <c r="I872" t="s">
        <v>126</v>
      </c>
      <c r="J872" t="s">
        <v>652</v>
      </c>
      <c r="K872" t="s">
        <v>20</v>
      </c>
      <c r="L872" t="s">
        <v>2436</v>
      </c>
      <c r="M872" s="3" t="str">
        <f>HYPERLINK("..\..\Imagery\ScannedPhotos\1980\CG80-322.1.jpg")</f>
        <v>..\..\Imagery\ScannedPhotos\1980\CG80-322.1.jpg</v>
      </c>
    </row>
    <row r="873" spans="1:13" x14ac:dyDescent="0.25">
      <c r="A873" t="s">
        <v>2437</v>
      </c>
      <c r="B873">
        <v>490968</v>
      </c>
      <c r="C873">
        <v>6039407</v>
      </c>
      <c r="D873">
        <v>21</v>
      </c>
      <c r="E873" t="s">
        <v>15</v>
      </c>
      <c r="F873" t="s">
        <v>2438</v>
      </c>
      <c r="G873">
        <v>6</v>
      </c>
      <c r="H873" t="s">
        <v>2439</v>
      </c>
      <c r="I873" t="s">
        <v>85</v>
      </c>
      <c r="J873" t="s">
        <v>2440</v>
      </c>
      <c r="K873" t="s">
        <v>20</v>
      </c>
      <c r="L873" t="s">
        <v>2441</v>
      </c>
      <c r="M873" s="3" t="str">
        <f>HYPERLINK("..\..\Imagery\ScannedPhotos\1992\CG92-066.1.jpg")</f>
        <v>..\..\Imagery\ScannedPhotos\1992\CG92-066.1.jpg</v>
      </c>
    </row>
    <row r="874" spans="1:13" x14ac:dyDescent="0.25">
      <c r="A874" t="s">
        <v>2437</v>
      </c>
      <c r="B874">
        <v>490968</v>
      </c>
      <c r="C874">
        <v>6039407</v>
      </c>
      <c r="D874">
        <v>21</v>
      </c>
      <c r="E874" t="s">
        <v>15</v>
      </c>
      <c r="F874" t="s">
        <v>2442</v>
      </c>
      <c r="G874">
        <v>6</v>
      </c>
      <c r="H874" t="s">
        <v>2439</v>
      </c>
      <c r="I874" t="s">
        <v>386</v>
      </c>
      <c r="J874" t="s">
        <v>2440</v>
      </c>
      <c r="K874" t="s">
        <v>20</v>
      </c>
      <c r="L874" t="s">
        <v>2441</v>
      </c>
      <c r="M874" s="3" t="str">
        <f>HYPERLINK("..\..\Imagery\ScannedPhotos\1992\CG92-066.5.jpg")</f>
        <v>..\..\Imagery\ScannedPhotos\1992\CG92-066.5.jpg</v>
      </c>
    </row>
    <row r="875" spans="1:13" x14ac:dyDescent="0.25">
      <c r="A875" t="s">
        <v>2443</v>
      </c>
      <c r="B875">
        <v>445413</v>
      </c>
      <c r="C875">
        <v>5922227</v>
      </c>
      <c r="D875">
        <v>21</v>
      </c>
      <c r="E875" t="s">
        <v>15</v>
      </c>
      <c r="F875" t="s">
        <v>2444</v>
      </c>
      <c r="G875">
        <v>4</v>
      </c>
      <c r="H875" t="s">
        <v>2445</v>
      </c>
      <c r="I875" t="s">
        <v>41</v>
      </c>
      <c r="J875" t="s">
        <v>2446</v>
      </c>
      <c r="K875" t="s">
        <v>20</v>
      </c>
      <c r="L875" t="s">
        <v>2447</v>
      </c>
      <c r="M875" s="3" t="str">
        <f>HYPERLINK("..\..\Imagery\ScannedPhotos\1984\NN84-032.4.jpg")</f>
        <v>..\..\Imagery\ScannedPhotos\1984\NN84-032.4.jpg</v>
      </c>
    </row>
    <row r="876" spans="1:13" x14ac:dyDescent="0.25">
      <c r="A876" t="s">
        <v>2448</v>
      </c>
      <c r="B876">
        <v>433928</v>
      </c>
      <c r="C876">
        <v>5899695</v>
      </c>
      <c r="D876">
        <v>21</v>
      </c>
      <c r="E876" t="s">
        <v>15</v>
      </c>
      <c r="F876" t="s">
        <v>2449</v>
      </c>
      <c r="G876">
        <v>1</v>
      </c>
      <c r="H876" t="s">
        <v>2445</v>
      </c>
      <c r="I876" t="s">
        <v>30</v>
      </c>
      <c r="J876" t="s">
        <v>2446</v>
      </c>
      <c r="K876" t="s">
        <v>20</v>
      </c>
      <c r="L876" t="s">
        <v>2450</v>
      </c>
      <c r="M876" s="3" t="str">
        <f>HYPERLINK("..\..\Imagery\ScannedPhotos\1984\NN84-044.jpg")</f>
        <v>..\..\Imagery\ScannedPhotos\1984\NN84-044.jpg</v>
      </c>
    </row>
    <row r="877" spans="1:13" x14ac:dyDescent="0.25">
      <c r="A877" t="s">
        <v>2451</v>
      </c>
      <c r="B877">
        <v>433910</v>
      </c>
      <c r="C877">
        <v>5897137</v>
      </c>
      <c r="D877">
        <v>21</v>
      </c>
      <c r="E877" t="s">
        <v>15</v>
      </c>
      <c r="F877" t="s">
        <v>2452</v>
      </c>
      <c r="G877">
        <v>3</v>
      </c>
      <c r="H877" t="s">
        <v>2065</v>
      </c>
      <c r="I877" t="s">
        <v>375</v>
      </c>
      <c r="J877" t="s">
        <v>156</v>
      </c>
      <c r="K877" t="s">
        <v>20</v>
      </c>
      <c r="L877" t="s">
        <v>1020</v>
      </c>
      <c r="M877" s="3" t="str">
        <f>HYPERLINK("..\..\Imagery\ScannedPhotos\1984\NN84-053.2.jpg")</f>
        <v>..\..\Imagery\ScannedPhotos\1984\NN84-053.2.jpg</v>
      </c>
    </row>
    <row r="878" spans="1:13" x14ac:dyDescent="0.25">
      <c r="A878" t="s">
        <v>2451</v>
      </c>
      <c r="B878">
        <v>433910</v>
      </c>
      <c r="C878">
        <v>5897137</v>
      </c>
      <c r="D878">
        <v>21</v>
      </c>
      <c r="E878" t="s">
        <v>15</v>
      </c>
      <c r="F878" t="s">
        <v>2453</v>
      </c>
      <c r="G878">
        <v>3</v>
      </c>
      <c r="H878" t="s">
        <v>2065</v>
      </c>
      <c r="I878" t="s">
        <v>85</v>
      </c>
      <c r="J878" t="s">
        <v>156</v>
      </c>
      <c r="K878" t="s">
        <v>20</v>
      </c>
      <c r="L878" t="s">
        <v>1020</v>
      </c>
      <c r="M878" s="3" t="str">
        <f>HYPERLINK("..\..\Imagery\ScannedPhotos\1984\NN84-053.1.jpg")</f>
        <v>..\..\Imagery\ScannedPhotos\1984\NN84-053.1.jpg</v>
      </c>
    </row>
    <row r="879" spans="1:13" x14ac:dyDescent="0.25">
      <c r="A879" t="s">
        <v>2454</v>
      </c>
      <c r="B879">
        <v>444257</v>
      </c>
      <c r="C879">
        <v>5906553</v>
      </c>
      <c r="D879">
        <v>21</v>
      </c>
      <c r="E879" t="s">
        <v>15</v>
      </c>
      <c r="F879" t="s">
        <v>2455</v>
      </c>
      <c r="G879">
        <v>3</v>
      </c>
      <c r="H879" t="s">
        <v>155</v>
      </c>
      <c r="I879" t="s">
        <v>79</v>
      </c>
      <c r="J879" t="s">
        <v>156</v>
      </c>
      <c r="K879" t="s">
        <v>20</v>
      </c>
      <c r="L879" t="s">
        <v>2456</v>
      </c>
      <c r="M879" s="3" t="str">
        <f>HYPERLINK("..\..\Imagery\ScannedPhotos\1984\NN84-091.2.jpg")</f>
        <v>..\..\Imagery\ScannedPhotos\1984\NN84-091.2.jpg</v>
      </c>
    </row>
    <row r="880" spans="1:13" x14ac:dyDescent="0.25">
      <c r="A880" t="s">
        <v>2457</v>
      </c>
      <c r="B880">
        <v>443477</v>
      </c>
      <c r="C880">
        <v>5909760</v>
      </c>
      <c r="D880">
        <v>21</v>
      </c>
      <c r="E880" t="s">
        <v>15</v>
      </c>
      <c r="F880" t="s">
        <v>2458</v>
      </c>
      <c r="G880">
        <v>2</v>
      </c>
      <c r="H880" t="s">
        <v>2459</v>
      </c>
      <c r="I880" t="s">
        <v>79</v>
      </c>
      <c r="J880" t="s">
        <v>2247</v>
      </c>
      <c r="K880" t="s">
        <v>20</v>
      </c>
      <c r="L880" t="s">
        <v>2460</v>
      </c>
      <c r="M880" s="3" t="str">
        <f>HYPERLINK("..\..\Imagery\ScannedPhotos\1984\NN84-145.2.jpg")</f>
        <v>..\..\Imagery\ScannedPhotos\1984\NN84-145.2.jpg</v>
      </c>
    </row>
    <row r="881" spans="1:13" x14ac:dyDescent="0.25">
      <c r="A881" t="s">
        <v>1070</v>
      </c>
      <c r="B881">
        <v>496425</v>
      </c>
      <c r="C881">
        <v>5860025</v>
      </c>
      <c r="D881">
        <v>21</v>
      </c>
      <c r="E881" t="s">
        <v>15</v>
      </c>
      <c r="F881" t="s">
        <v>2461</v>
      </c>
      <c r="G881">
        <v>6</v>
      </c>
      <c r="H881" t="s">
        <v>616</v>
      </c>
      <c r="I881" t="s">
        <v>418</v>
      </c>
      <c r="J881" t="s">
        <v>413</v>
      </c>
      <c r="K881" t="s">
        <v>20</v>
      </c>
      <c r="L881" t="s">
        <v>1072</v>
      </c>
      <c r="M881" s="3" t="str">
        <f>HYPERLINK("..\..\Imagery\ScannedPhotos\1991\DD91-037.2.jpg")</f>
        <v>..\..\Imagery\ScannedPhotos\1991\DD91-037.2.jpg</v>
      </c>
    </row>
    <row r="882" spans="1:13" x14ac:dyDescent="0.25">
      <c r="A882" t="s">
        <v>1070</v>
      </c>
      <c r="B882">
        <v>496425</v>
      </c>
      <c r="C882">
        <v>5860025</v>
      </c>
      <c r="D882">
        <v>21</v>
      </c>
      <c r="E882" t="s">
        <v>15</v>
      </c>
      <c r="F882" t="s">
        <v>2462</v>
      </c>
      <c r="G882">
        <v>6</v>
      </c>
      <c r="H882" t="s">
        <v>616</v>
      </c>
      <c r="I882" t="s">
        <v>222</v>
      </c>
      <c r="J882" t="s">
        <v>413</v>
      </c>
      <c r="K882" t="s">
        <v>20</v>
      </c>
      <c r="L882" t="s">
        <v>2463</v>
      </c>
      <c r="M882" s="3" t="str">
        <f>HYPERLINK("..\..\Imagery\ScannedPhotos\1991\DD91-037.1.jpg")</f>
        <v>..\..\Imagery\ScannedPhotos\1991\DD91-037.1.jpg</v>
      </c>
    </row>
    <row r="883" spans="1:13" x14ac:dyDescent="0.25">
      <c r="A883" t="s">
        <v>2171</v>
      </c>
      <c r="B883">
        <v>495142</v>
      </c>
      <c r="C883">
        <v>5857923</v>
      </c>
      <c r="D883">
        <v>21</v>
      </c>
      <c r="E883" t="s">
        <v>15</v>
      </c>
      <c r="F883" t="s">
        <v>2464</v>
      </c>
      <c r="G883">
        <v>2</v>
      </c>
      <c r="H883" t="s">
        <v>616</v>
      </c>
      <c r="I883" t="s">
        <v>647</v>
      </c>
      <c r="J883" t="s">
        <v>413</v>
      </c>
      <c r="K883" t="s">
        <v>20</v>
      </c>
      <c r="L883" t="s">
        <v>2173</v>
      </c>
      <c r="M883" s="3" t="str">
        <f>HYPERLINK("..\..\Imagery\ScannedPhotos\1991\DD91-039.1.jpg")</f>
        <v>..\..\Imagery\ScannedPhotos\1991\DD91-039.1.jpg</v>
      </c>
    </row>
    <row r="884" spans="1:13" x14ac:dyDescent="0.25">
      <c r="A884" t="s">
        <v>2465</v>
      </c>
      <c r="B884">
        <v>596420</v>
      </c>
      <c r="C884">
        <v>5792829</v>
      </c>
      <c r="D884">
        <v>21</v>
      </c>
      <c r="E884" t="s">
        <v>15</v>
      </c>
      <c r="F884" t="s">
        <v>2466</v>
      </c>
      <c r="G884">
        <v>2</v>
      </c>
      <c r="K884" t="s">
        <v>56</v>
      </c>
      <c r="L884" t="s">
        <v>2467</v>
      </c>
      <c r="M884" s="3" t="str">
        <f>HYPERLINK("..\..\Imagery\ScannedPhotos\2007\CG07-146.2.jpg")</f>
        <v>..\..\Imagery\ScannedPhotos\2007\CG07-146.2.jpg</v>
      </c>
    </row>
    <row r="885" spans="1:13" x14ac:dyDescent="0.25">
      <c r="A885" t="s">
        <v>2468</v>
      </c>
      <c r="B885">
        <v>596406</v>
      </c>
      <c r="C885">
        <v>5792860</v>
      </c>
      <c r="D885">
        <v>21</v>
      </c>
      <c r="E885" t="s">
        <v>15</v>
      </c>
      <c r="F885" t="s">
        <v>2469</v>
      </c>
      <c r="G885">
        <v>2</v>
      </c>
      <c r="K885" t="s">
        <v>20</v>
      </c>
      <c r="L885" t="s">
        <v>2470</v>
      </c>
      <c r="M885" s="3" t="str">
        <f>HYPERLINK("..\..\Imagery\ScannedPhotos\2007\CG07-147.1.jpg")</f>
        <v>..\..\Imagery\ScannedPhotos\2007\CG07-147.1.jpg</v>
      </c>
    </row>
    <row r="886" spans="1:13" x14ac:dyDescent="0.25">
      <c r="A886" t="s">
        <v>2468</v>
      </c>
      <c r="B886">
        <v>596406</v>
      </c>
      <c r="C886">
        <v>5792860</v>
      </c>
      <c r="D886">
        <v>21</v>
      </c>
      <c r="E886" t="s">
        <v>15</v>
      </c>
      <c r="F886" t="s">
        <v>2471</v>
      </c>
      <c r="G886">
        <v>2</v>
      </c>
      <c r="K886" t="s">
        <v>56</v>
      </c>
      <c r="L886" t="s">
        <v>2472</v>
      </c>
      <c r="M886" s="3" t="str">
        <f>HYPERLINK("..\..\Imagery\ScannedPhotos\2007\CG07-147.2.jpg")</f>
        <v>..\..\Imagery\ScannedPhotos\2007\CG07-147.2.jpg</v>
      </c>
    </row>
    <row r="887" spans="1:13" x14ac:dyDescent="0.25">
      <c r="A887" t="s">
        <v>2473</v>
      </c>
      <c r="B887">
        <v>596408</v>
      </c>
      <c r="C887">
        <v>5792857</v>
      </c>
      <c r="D887">
        <v>21</v>
      </c>
      <c r="E887" t="s">
        <v>15</v>
      </c>
      <c r="F887" t="s">
        <v>2474</v>
      </c>
      <c r="G887">
        <v>3</v>
      </c>
      <c r="K887" t="s">
        <v>20</v>
      </c>
      <c r="L887" t="s">
        <v>2475</v>
      </c>
      <c r="M887" s="3" t="str">
        <f>HYPERLINK("..\..\Imagery\ScannedPhotos\2007\CG07-148.1.jpg")</f>
        <v>..\..\Imagery\ScannedPhotos\2007\CG07-148.1.jpg</v>
      </c>
    </row>
    <row r="888" spans="1:13" x14ac:dyDescent="0.25">
      <c r="A888" t="s">
        <v>2473</v>
      </c>
      <c r="B888">
        <v>596408</v>
      </c>
      <c r="C888">
        <v>5792857</v>
      </c>
      <c r="D888">
        <v>21</v>
      </c>
      <c r="E888" t="s">
        <v>15</v>
      </c>
      <c r="F888" t="s">
        <v>2476</v>
      </c>
      <c r="G888">
        <v>3</v>
      </c>
      <c r="K888" t="s">
        <v>56</v>
      </c>
      <c r="L888" t="s">
        <v>2477</v>
      </c>
      <c r="M888" s="3" t="str">
        <f>HYPERLINK("..\..\Imagery\ScannedPhotos\2007\CG07-148.2.jpg")</f>
        <v>..\..\Imagery\ScannedPhotos\2007\CG07-148.2.jpg</v>
      </c>
    </row>
    <row r="889" spans="1:13" x14ac:dyDescent="0.25">
      <c r="A889" t="s">
        <v>2478</v>
      </c>
      <c r="B889">
        <v>574011</v>
      </c>
      <c r="C889">
        <v>5764908</v>
      </c>
      <c r="D889">
        <v>21</v>
      </c>
      <c r="E889" t="s">
        <v>15</v>
      </c>
      <c r="F889" t="s">
        <v>2479</v>
      </c>
      <c r="G889">
        <v>1</v>
      </c>
      <c r="H889" t="s">
        <v>2480</v>
      </c>
      <c r="I889" t="s">
        <v>209</v>
      </c>
      <c r="J889" t="s">
        <v>1619</v>
      </c>
      <c r="K889" t="s">
        <v>56</v>
      </c>
      <c r="L889" t="s">
        <v>2481</v>
      </c>
      <c r="M889" s="3" t="str">
        <f>HYPERLINK("..\..\Imagery\ScannedPhotos\1987\JS87-370.jpg")</f>
        <v>..\..\Imagery\ScannedPhotos\1987\JS87-370.jpg</v>
      </c>
    </row>
    <row r="890" spans="1:13" x14ac:dyDescent="0.25">
      <c r="A890" t="s">
        <v>2482</v>
      </c>
      <c r="B890">
        <v>593253</v>
      </c>
      <c r="C890">
        <v>5785005</v>
      </c>
      <c r="D890">
        <v>21</v>
      </c>
      <c r="E890" t="s">
        <v>15</v>
      </c>
      <c r="F890" t="s">
        <v>2483</v>
      </c>
      <c r="G890">
        <v>6</v>
      </c>
      <c r="H890" t="s">
        <v>2484</v>
      </c>
      <c r="I890" t="s">
        <v>94</v>
      </c>
      <c r="J890" t="s">
        <v>2485</v>
      </c>
      <c r="K890" t="s">
        <v>56</v>
      </c>
      <c r="L890" t="s">
        <v>2486</v>
      </c>
      <c r="M890" s="3" t="str">
        <f>HYPERLINK("..\..\Imagery\ScannedPhotos\1987\CG87-445.1.jpg")</f>
        <v>..\..\Imagery\ScannedPhotos\1987\CG87-445.1.jpg</v>
      </c>
    </row>
    <row r="891" spans="1:13" x14ac:dyDescent="0.25">
      <c r="A891" t="s">
        <v>919</v>
      </c>
      <c r="B891">
        <v>443989</v>
      </c>
      <c r="C891">
        <v>5763744</v>
      </c>
      <c r="D891">
        <v>21</v>
      </c>
      <c r="E891" t="s">
        <v>15</v>
      </c>
      <c r="F891" t="s">
        <v>2487</v>
      </c>
      <c r="G891">
        <v>9</v>
      </c>
      <c r="H891" t="s">
        <v>746</v>
      </c>
      <c r="I891" t="s">
        <v>18</v>
      </c>
      <c r="J891" t="s">
        <v>747</v>
      </c>
      <c r="K891" t="s">
        <v>56</v>
      </c>
      <c r="L891" t="s">
        <v>2488</v>
      </c>
      <c r="M891" s="3" t="str">
        <f>HYPERLINK("..\..\Imagery\ScannedPhotos\1992\CG92-163.7.jpg")</f>
        <v>..\..\Imagery\ScannedPhotos\1992\CG92-163.7.jpg</v>
      </c>
    </row>
    <row r="892" spans="1:13" x14ac:dyDescent="0.25">
      <c r="A892" t="s">
        <v>919</v>
      </c>
      <c r="B892">
        <v>443989</v>
      </c>
      <c r="C892">
        <v>5763744</v>
      </c>
      <c r="D892">
        <v>21</v>
      </c>
      <c r="E892" t="s">
        <v>15</v>
      </c>
      <c r="F892" t="s">
        <v>2489</v>
      </c>
      <c r="G892">
        <v>9</v>
      </c>
      <c r="H892" t="s">
        <v>746</v>
      </c>
      <c r="I892" t="s">
        <v>35</v>
      </c>
      <c r="J892" t="s">
        <v>747</v>
      </c>
      <c r="K892" t="s">
        <v>56</v>
      </c>
      <c r="L892" t="s">
        <v>2488</v>
      </c>
      <c r="M892" s="3" t="str">
        <f>HYPERLINK("..\..\Imagery\ScannedPhotos\1992\CG92-163.8.jpg")</f>
        <v>..\..\Imagery\ScannedPhotos\1992\CG92-163.8.jpg</v>
      </c>
    </row>
    <row r="893" spans="1:13" x14ac:dyDescent="0.25">
      <c r="A893" t="s">
        <v>2490</v>
      </c>
      <c r="B893">
        <v>495783</v>
      </c>
      <c r="C893">
        <v>5850119</v>
      </c>
      <c r="D893">
        <v>21</v>
      </c>
      <c r="E893" t="s">
        <v>15</v>
      </c>
      <c r="F893" t="s">
        <v>2491</v>
      </c>
      <c r="G893">
        <v>1</v>
      </c>
      <c r="H893" t="s">
        <v>1037</v>
      </c>
      <c r="I893" t="s">
        <v>386</v>
      </c>
      <c r="J893" t="s">
        <v>1038</v>
      </c>
      <c r="K893" t="s">
        <v>20</v>
      </c>
      <c r="L893" t="s">
        <v>2492</v>
      </c>
      <c r="M893" s="3" t="str">
        <f>HYPERLINK("..\..\Imagery\ScannedPhotos\1991\VN91-449.jpg")</f>
        <v>..\..\Imagery\ScannedPhotos\1991\VN91-449.jpg</v>
      </c>
    </row>
    <row r="894" spans="1:13" x14ac:dyDescent="0.25">
      <c r="A894" t="s">
        <v>2493</v>
      </c>
      <c r="B894">
        <v>494787</v>
      </c>
      <c r="C894">
        <v>5847825</v>
      </c>
      <c r="D894">
        <v>21</v>
      </c>
      <c r="E894" t="s">
        <v>15</v>
      </c>
      <c r="F894" t="s">
        <v>2494</v>
      </c>
      <c r="G894">
        <v>1</v>
      </c>
      <c r="H894" t="s">
        <v>1037</v>
      </c>
      <c r="I894" t="s">
        <v>214</v>
      </c>
      <c r="J894" t="s">
        <v>1038</v>
      </c>
      <c r="K894" t="s">
        <v>20</v>
      </c>
      <c r="L894" t="s">
        <v>2020</v>
      </c>
      <c r="M894" s="3" t="str">
        <f>HYPERLINK("..\..\Imagery\ScannedPhotos\1991\VN91-454.jpg")</f>
        <v>..\..\Imagery\ScannedPhotos\1991\VN91-454.jpg</v>
      </c>
    </row>
    <row r="895" spans="1:13" x14ac:dyDescent="0.25">
      <c r="A895" t="s">
        <v>1039</v>
      </c>
      <c r="B895">
        <v>497507</v>
      </c>
      <c r="C895">
        <v>5819366</v>
      </c>
      <c r="D895">
        <v>21</v>
      </c>
      <c r="E895" t="s">
        <v>15</v>
      </c>
      <c r="F895" t="s">
        <v>2495</v>
      </c>
      <c r="G895">
        <v>8</v>
      </c>
      <c r="H895" t="s">
        <v>968</v>
      </c>
      <c r="I895" t="s">
        <v>52</v>
      </c>
      <c r="J895" t="s">
        <v>42</v>
      </c>
      <c r="K895" t="s">
        <v>56</v>
      </c>
      <c r="L895" t="s">
        <v>2496</v>
      </c>
      <c r="M895" s="3" t="str">
        <f>HYPERLINK("..\..\Imagery\ScannedPhotos\1991\VN91-020.6.jpg")</f>
        <v>..\..\Imagery\ScannedPhotos\1991\VN91-020.6.jpg</v>
      </c>
    </row>
    <row r="896" spans="1:13" x14ac:dyDescent="0.25">
      <c r="A896" t="s">
        <v>2497</v>
      </c>
      <c r="B896">
        <v>474184</v>
      </c>
      <c r="C896">
        <v>5798781</v>
      </c>
      <c r="D896">
        <v>21</v>
      </c>
      <c r="E896" t="s">
        <v>15</v>
      </c>
      <c r="F896" t="s">
        <v>2498</v>
      </c>
      <c r="G896">
        <v>1</v>
      </c>
      <c r="H896" t="s">
        <v>2499</v>
      </c>
      <c r="I896" t="s">
        <v>119</v>
      </c>
      <c r="J896" t="s">
        <v>48</v>
      </c>
      <c r="K896" t="s">
        <v>20</v>
      </c>
      <c r="L896" t="s">
        <v>2500</v>
      </c>
      <c r="M896" s="3" t="str">
        <f>HYPERLINK("..\..\Imagery\ScannedPhotos\1992\CG92-031.jpg")</f>
        <v>..\..\Imagery\ScannedPhotos\1992\CG92-031.jpg</v>
      </c>
    </row>
    <row r="897" spans="1:13" x14ac:dyDescent="0.25">
      <c r="A897" t="s">
        <v>2501</v>
      </c>
      <c r="B897">
        <v>433775</v>
      </c>
      <c r="C897">
        <v>5808419</v>
      </c>
      <c r="D897">
        <v>21</v>
      </c>
      <c r="E897" t="s">
        <v>15</v>
      </c>
      <c r="F897" t="s">
        <v>2502</v>
      </c>
      <c r="G897">
        <v>1</v>
      </c>
      <c r="H897" t="s">
        <v>813</v>
      </c>
      <c r="I897" t="s">
        <v>79</v>
      </c>
      <c r="J897" t="s">
        <v>814</v>
      </c>
      <c r="K897" t="s">
        <v>56</v>
      </c>
      <c r="L897" t="s">
        <v>2503</v>
      </c>
      <c r="M897" s="3" t="str">
        <f>HYPERLINK("..\..\Imagery\ScannedPhotos\1992\CG92-039.jpg")</f>
        <v>..\..\Imagery\ScannedPhotos\1992\CG92-039.jpg</v>
      </c>
    </row>
    <row r="898" spans="1:13" x14ac:dyDescent="0.25">
      <c r="A898" t="s">
        <v>2504</v>
      </c>
      <c r="B898">
        <v>432069</v>
      </c>
      <c r="C898">
        <v>5807389</v>
      </c>
      <c r="D898">
        <v>21</v>
      </c>
      <c r="E898" t="s">
        <v>15</v>
      </c>
      <c r="F898" t="s">
        <v>2505</v>
      </c>
      <c r="G898">
        <v>1</v>
      </c>
      <c r="H898" t="s">
        <v>813</v>
      </c>
      <c r="I898" t="s">
        <v>281</v>
      </c>
      <c r="J898" t="s">
        <v>814</v>
      </c>
      <c r="K898" t="s">
        <v>56</v>
      </c>
      <c r="L898" t="s">
        <v>2506</v>
      </c>
      <c r="M898" s="3" t="str">
        <f>HYPERLINK("..\..\Imagery\ScannedPhotos\1992\CG92-041.jpg")</f>
        <v>..\..\Imagery\ScannedPhotos\1992\CG92-041.jpg</v>
      </c>
    </row>
    <row r="899" spans="1:13" x14ac:dyDescent="0.25">
      <c r="A899" t="s">
        <v>2507</v>
      </c>
      <c r="B899">
        <v>408691</v>
      </c>
      <c r="C899">
        <v>5994972</v>
      </c>
      <c r="D899">
        <v>21</v>
      </c>
      <c r="E899" t="s">
        <v>15</v>
      </c>
      <c r="F899" t="s">
        <v>2508</v>
      </c>
      <c r="G899">
        <v>2</v>
      </c>
      <c r="H899" t="s">
        <v>900</v>
      </c>
      <c r="I899" t="s">
        <v>79</v>
      </c>
      <c r="J899" t="s">
        <v>652</v>
      </c>
      <c r="K899" t="s">
        <v>20</v>
      </c>
      <c r="L899" t="s">
        <v>2509</v>
      </c>
      <c r="M899" s="3" t="str">
        <f>HYPERLINK("..\..\Imagery\ScannedPhotos\1980\RG80-004.2.jpg")</f>
        <v>..\..\Imagery\ScannedPhotos\1980\RG80-004.2.jpg</v>
      </c>
    </row>
    <row r="900" spans="1:13" x14ac:dyDescent="0.25">
      <c r="A900" t="s">
        <v>2507</v>
      </c>
      <c r="B900">
        <v>408691</v>
      </c>
      <c r="C900">
        <v>5994972</v>
      </c>
      <c r="D900">
        <v>21</v>
      </c>
      <c r="E900" t="s">
        <v>15</v>
      </c>
      <c r="F900" t="s">
        <v>2510</v>
      </c>
      <c r="G900">
        <v>2</v>
      </c>
      <c r="H900" t="s">
        <v>900</v>
      </c>
      <c r="I900" t="s">
        <v>294</v>
      </c>
      <c r="J900" t="s">
        <v>652</v>
      </c>
      <c r="K900" t="s">
        <v>20</v>
      </c>
      <c r="L900" t="s">
        <v>2509</v>
      </c>
      <c r="M900" s="3" t="str">
        <f>HYPERLINK("..\..\Imagery\ScannedPhotos\1980\RG80-004.1.jpg")</f>
        <v>..\..\Imagery\ScannedPhotos\1980\RG80-004.1.jpg</v>
      </c>
    </row>
    <row r="901" spans="1:13" x14ac:dyDescent="0.25">
      <c r="A901" t="s">
        <v>2511</v>
      </c>
      <c r="B901">
        <v>409024</v>
      </c>
      <c r="C901">
        <v>5994803</v>
      </c>
      <c r="D901">
        <v>21</v>
      </c>
      <c r="E901" t="s">
        <v>15</v>
      </c>
      <c r="F901" t="s">
        <v>2512</v>
      </c>
      <c r="G901">
        <v>4</v>
      </c>
      <c r="H901" t="s">
        <v>900</v>
      </c>
      <c r="I901" t="s">
        <v>281</v>
      </c>
      <c r="J901" t="s">
        <v>652</v>
      </c>
      <c r="K901" t="s">
        <v>20</v>
      </c>
      <c r="L901" t="s">
        <v>2513</v>
      </c>
      <c r="M901" s="3" t="str">
        <f>HYPERLINK("..\..\Imagery\ScannedPhotos\1980\RG80-005.4.jpg")</f>
        <v>..\..\Imagery\ScannedPhotos\1980\RG80-005.4.jpg</v>
      </c>
    </row>
    <row r="902" spans="1:13" x14ac:dyDescent="0.25">
      <c r="A902" t="s">
        <v>2514</v>
      </c>
      <c r="B902">
        <v>592361</v>
      </c>
      <c r="C902">
        <v>5792050</v>
      </c>
      <c r="D902">
        <v>21</v>
      </c>
      <c r="E902" t="s">
        <v>15</v>
      </c>
      <c r="F902" t="s">
        <v>2515</v>
      </c>
      <c r="G902">
        <v>2</v>
      </c>
      <c r="H902" t="s">
        <v>1051</v>
      </c>
      <c r="I902" t="s">
        <v>122</v>
      </c>
      <c r="J902" t="s">
        <v>1052</v>
      </c>
      <c r="K902" t="s">
        <v>20</v>
      </c>
      <c r="L902" t="s">
        <v>2516</v>
      </c>
      <c r="M902" s="3" t="str">
        <f>HYPERLINK("..\..\Imagery\ScannedPhotos\1987\VN87-479.2.jpg")</f>
        <v>..\..\Imagery\ScannedPhotos\1987\VN87-479.2.jpg</v>
      </c>
    </row>
    <row r="903" spans="1:13" x14ac:dyDescent="0.25">
      <c r="A903" t="s">
        <v>2514</v>
      </c>
      <c r="B903">
        <v>592361</v>
      </c>
      <c r="C903">
        <v>5792050</v>
      </c>
      <c r="D903">
        <v>21</v>
      </c>
      <c r="E903" t="s">
        <v>15</v>
      </c>
      <c r="F903" t="s">
        <v>2517</v>
      </c>
      <c r="G903">
        <v>2</v>
      </c>
      <c r="H903" t="s">
        <v>1051</v>
      </c>
      <c r="I903" t="s">
        <v>119</v>
      </c>
      <c r="J903" t="s">
        <v>1052</v>
      </c>
      <c r="K903" t="s">
        <v>20</v>
      </c>
      <c r="L903" t="s">
        <v>2518</v>
      </c>
      <c r="M903" s="3" t="str">
        <f>HYPERLINK("..\..\Imagery\ScannedPhotos\1987\VN87-479.1.jpg")</f>
        <v>..\..\Imagery\ScannedPhotos\1987\VN87-479.1.jpg</v>
      </c>
    </row>
    <row r="904" spans="1:13" x14ac:dyDescent="0.25">
      <c r="A904" t="s">
        <v>2519</v>
      </c>
      <c r="B904">
        <v>434448</v>
      </c>
      <c r="C904">
        <v>5867130</v>
      </c>
      <c r="D904">
        <v>21</v>
      </c>
      <c r="E904" t="s">
        <v>15</v>
      </c>
      <c r="F904" t="s">
        <v>2520</v>
      </c>
      <c r="G904">
        <v>7</v>
      </c>
      <c r="H904" t="s">
        <v>2521</v>
      </c>
      <c r="I904" t="s">
        <v>108</v>
      </c>
      <c r="J904" t="s">
        <v>2522</v>
      </c>
      <c r="K904" t="s">
        <v>20</v>
      </c>
      <c r="L904" t="s">
        <v>2523</v>
      </c>
      <c r="M904" s="3" t="str">
        <f>HYPERLINK("..\..\Imagery\ScannedPhotos\1991\VN91-424.1.jpg")</f>
        <v>..\..\Imagery\ScannedPhotos\1991\VN91-424.1.jpg</v>
      </c>
    </row>
    <row r="905" spans="1:13" x14ac:dyDescent="0.25">
      <c r="A905" t="s">
        <v>302</v>
      </c>
      <c r="B905">
        <v>523917</v>
      </c>
      <c r="C905">
        <v>5855348</v>
      </c>
      <c r="D905">
        <v>21</v>
      </c>
      <c r="E905" t="s">
        <v>15</v>
      </c>
      <c r="F905" t="s">
        <v>2524</v>
      </c>
      <c r="G905">
        <v>2</v>
      </c>
      <c r="H905" t="s">
        <v>299</v>
      </c>
      <c r="I905" t="s">
        <v>195</v>
      </c>
      <c r="J905" t="s">
        <v>300</v>
      </c>
      <c r="K905" t="s">
        <v>20</v>
      </c>
      <c r="L905" t="s">
        <v>2525</v>
      </c>
      <c r="M905" s="3" t="str">
        <f>HYPERLINK("..\..\Imagery\ScannedPhotos\1986\MN86-171.2.jpg")</f>
        <v>..\..\Imagery\ScannedPhotos\1986\MN86-171.2.jpg</v>
      </c>
    </row>
    <row r="906" spans="1:13" x14ac:dyDescent="0.25">
      <c r="A906" t="s">
        <v>2526</v>
      </c>
      <c r="B906">
        <v>392846</v>
      </c>
      <c r="C906">
        <v>6071387</v>
      </c>
      <c r="D906">
        <v>21</v>
      </c>
      <c r="E906" t="s">
        <v>15</v>
      </c>
      <c r="F906" t="s">
        <v>2527</v>
      </c>
      <c r="G906">
        <v>5</v>
      </c>
      <c r="H906" t="s">
        <v>1833</v>
      </c>
      <c r="I906" t="s">
        <v>195</v>
      </c>
      <c r="J906" t="s">
        <v>610</v>
      </c>
      <c r="K906" t="s">
        <v>228</v>
      </c>
      <c r="L906" t="s">
        <v>2528</v>
      </c>
      <c r="M906" s="3" t="str">
        <f>HYPERLINK("..\..\Imagery\ScannedPhotos\1979\CG79-162.4.jpg")</f>
        <v>..\..\Imagery\ScannedPhotos\1979\CG79-162.4.jpg</v>
      </c>
    </row>
    <row r="907" spans="1:13" x14ac:dyDescent="0.25">
      <c r="A907" t="s">
        <v>741</v>
      </c>
      <c r="B907">
        <v>422605</v>
      </c>
      <c r="C907">
        <v>5774107</v>
      </c>
      <c r="D907">
        <v>21</v>
      </c>
      <c r="E907" t="s">
        <v>15</v>
      </c>
      <c r="F907" t="s">
        <v>2529</v>
      </c>
      <c r="G907">
        <v>6</v>
      </c>
      <c r="H907" t="s">
        <v>766</v>
      </c>
      <c r="I907" t="s">
        <v>281</v>
      </c>
      <c r="J907" t="s">
        <v>767</v>
      </c>
      <c r="K907" t="s">
        <v>20</v>
      </c>
      <c r="L907" t="s">
        <v>1069</v>
      </c>
      <c r="M907" s="3" t="str">
        <f>HYPERLINK("..\..\Imagery\ScannedPhotos\1999\CG99-050.4.jpg")</f>
        <v>..\..\Imagery\ScannedPhotos\1999\CG99-050.4.jpg</v>
      </c>
    </row>
    <row r="908" spans="1:13" x14ac:dyDescent="0.25">
      <c r="A908" t="s">
        <v>741</v>
      </c>
      <c r="B908">
        <v>422605</v>
      </c>
      <c r="C908">
        <v>5774107</v>
      </c>
      <c r="D908">
        <v>21</v>
      </c>
      <c r="E908" t="s">
        <v>15</v>
      </c>
      <c r="F908" t="s">
        <v>2530</v>
      </c>
      <c r="G908">
        <v>6</v>
      </c>
      <c r="H908" t="s">
        <v>766</v>
      </c>
      <c r="I908" t="s">
        <v>137</v>
      </c>
      <c r="J908" t="s">
        <v>767</v>
      </c>
      <c r="K908" t="s">
        <v>20</v>
      </c>
      <c r="L908" t="s">
        <v>2531</v>
      </c>
      <c r="M908" s="3" t="str">
        <f>HYPERLINK("..\..\Imagery\ScannedPhotos\1999\CG99-050.5.jpg")</f>
        <v>..\..\Imagery\ScannedPhotos\1999\CG99-050.5.jpg</v>
      </c>
    </row>
    <row r="909" spans="1:13" x14ac:dyDescent="0.25">
      <c r="A909" t="s">
        <v>741</v>
      </c>
      <c r="B909">
        <v>422605</v>
      </c>
      <c r="C909">
        <v>5774107</v>
      </c>
      <c r="D909">
        <v>21</v>
      </c>
      <c r="E909" t="s">
        <v>15</v>
      </c>
      <c r="F909" t="s">
        <v>2532</v>
      </c>
      <c r="G909">
        <v>6</v>
      </c>
      <c r="H909" t="s">
        <v>766</v>
      </c>
      <c r="I909" t="s">
        <v>69</v>
      </c>
      <c r="J909" t="s">
        <v>767</v>
      </c>
      <c r="K909" t="s">
        <v>56</v>
      </c>
      <c r="L909" t="s">
        <v>2533</v>
      </c>
      <c r="M909" s="3" t="str">
        <f>HYPERLINK("..\..\Imagery\ScannedPhotos\1999\CG99-050.6.jpg")</f>
        <v>..\..\Imagery\ScannedPhotos\1999\CG99-050.6.jpg</v>
      </c>
    </row>
    <row r="910" spans="1:13" x14ac:dyDescent="0.25">
      <c r="A910" t="s">
        <v>2534</v>
      </c>
      <c r="B910">
        <v>422380</v>
      </c>
      <c r="C910">
        <v>5774018</v>
      </c>
      <c r="D910">
        <v>21</v>
      </c>
      <c r="E910" t="s">
        <v>15</v>
      </c>
      <c r="F910" t="s">
        <v>2535</v>
      </c>
      <c r="G910">
        <v>1</v>
      </c>
      <c r="H910" t="s">
        <v>738</v>
      </c>
      <c r="I910" t="s">
        <v>30</v>
      </c>
      <c r="J910" t="s">
        <v>739</v>
      </c>
      <c r="K910" t="s">
        <v>20</v>
      </c>
      <c r="L910" t="s">
        <v>2536</v>
      </c>
      <c r="M910" s="3" t="str">
        <f>HYPERLINK("..\..\Imagery\ScannedPhotos\1999\CG99-051.jpg")</f>
        <v>..\..\Imagery\ScannedPhotos\1999\CG99-051.jpg</v>
      </c>
    </row>
    <row r="911" spans="1:13" x14ac:dyDescent="0.25">
      <c r="A911" t="s">
        <v>2537</v>
      </c>
      <c r="B911">
        <v>414717</v>
      </c>
      <c r="C911">
        <v>5790390</v>
      </c>
      <c r="D911">
        <v>21</v>
      </c>
      <c r="E911" t="s">
        <v>15</v>
      </c>
      <c r="F911" t="s">
        <v>2538</v>
      </c>
      <c r="G911">
        <v>1</v>
      </c>
      <c r="H911" t="s">
        <v>738</v>
      </c>
      <c r="I911" t="s">
        <v>119</v>
      </c>
      <c r="J911" t="s">
        <v>739</v>
      </c>
      <c r="K911" t="s">
        <v>20</v>
      </c>
      <c r="L911" t="s">
        <v>2539</v>
      </c>
      <c r="M911" s="3" t="str">
        <f>HYPERLINK("..\..\Imagery\ScannedPhotos\1999\CG99-064.jpg")</f>
        <v>..\..\Imagery\ScannedPhotos\1999\CG99-064.jpg</v>
      </c>
    </row>
    <row r="912" spans="1:13" x14ac:dyDescent="0.25">
      <c r="A912" t="s">
        <v>2540</v>
      </c>
      <c r="B912">
        <v>489395</v>
      </c>
      <c r="C912">
        <v>6043801</v>
      </c>
      <c r="D912">
        <v>21</v>
      </c>
      <c r="E912" t="s">
        <v>15</v>
      </c>
      <c r="F912" t="s">
        <v>2541</v>
      </c>
      <c r="G912">
        <v>1</v>
      </c>
      <c r="H912" t="s">
        <v>700</v>
      </c>
      <c r="I912" t="s">
        <v>94</v>
      </c>
      <c r="J912" t="s">
        <v>210</v>
      </c>
      <c r="K912" t="s">
        <v>20</v>
      </c>
      <c r="L912" t="s">
        <v>2152</v>
      </c>
      <c r="M912" s="3" t="str">
        <f>HYPERLINK("..\..\Imagery\ScannedPhotos\1979\CG79-314.jpg")</f>
        <v>..\..\Imagery\ScannedPhotos\1979\CG79-314.jpg</v>
      </c>
    </row>
    <row r="913" spans="1:13" x14ac:dyDescent="0.25">
      <c r="A913" t="s">
        <v>2542</v>
      </c>
      <c r="B913">
        <v>489506</v>
      </c>
      <c r="C913">
        <v>6041628</v>
      </c>
      <c r="D913">
        <v>21</v>
      </c>
      <c r="E913" t="s">
        <v>15</v>
      </c>
      <c r="F913" t="s">
        <v>2543</v>
      </c>
      <c r="G913">
        <v>2</v>
      </c>
      <c r="H913" t="s">
        <v>700</v>
      </c>
      <c r="I913" t="s">
        <v>209</v>
      </c>
      <c r="J913" t="s">
        <v>210</v>
      </c>
      <c r="K913" t="s">
        <v>20</v>
      </c>
      <c r="L913" t="s">
        <v>2544</v>
      </c>
      <c r="M913" s="3" t="str">
        <f>HYPERLINK("..\..\Imagery\ScannedPhotos\1979\CG79-317.1.jpg")</f>
        <v>..\..\Imagery\ScannedPhotos\1979\CG79-317.1.jpg</v>
      </c>
    </row>
    <row r="914" spans="1:13" x14ac:dyDescent="0.25">
      <c r="A914" t="s">
        <v>2542</v>
      </c>
      <c r="B914">
        <v>489506</v>
      </c>
      <c r="C914">
        <v>6041628</v>
      </c>
      <c r="D914">
        <v>21</v>
      </c>
      <c r="E914" t="s">
        <v>15</v>
      </c>
      <c r="F914" t="s">
        <v>2545</v>
      </c>
      <c r="G914">
        <v>2</v>
      </c>
      <c r="H914" t="s">
        <v>700</v>
      </c>
      <c r="I914" t="s">
        <v>386</v>
      </c>
      <c r="J914" t="s">
        <v>210</v>
      </c>
      <c r="K914" t="s">
        <v>20</v>
      </c>
      <c r="L914" t="s">
        <v>2544</v>
      </c>
      <c r="M914" s="3" t="str">
        <f>HYPERLINK("..\..\Imagery\ScannedPhotos\1979\CG79-317.2.jpg")</f>
        <v>..\..\Imagery\ScannedPhotos\1979\CG79-317.2.jpg</v>
      </c>
    </row>
    <row r="915" spans="1:13" x14ac:dyDescent="0.25">
      <c r="A915" t="s">
        <v>2546</v>
      </c>
      <c r="B915">
        <v>490215</v>
      </c>
      <c r="C915">
        <v>6041036</v>
      </c>
      <c r="D915">
        <v>21</v>
      </c>
      <c r="E915" t="s">
        <v>15</v>
      </c>
      <c r="F915" t="s">
        <v>2547</v>
      </c>
      <c r="G915">
        <v>1</v>
      </c>
      <c r="H915" t="s">
        <v>700</v>
      </c>
      <c r="I915" t="s">
        <v>217</v>
      </c>
      <c r="J915" t="s">
        <v>210</v>
      </c>
      <c r="K915" t="s">
        <v>20</v>
      </c>
      <c r="L915" t="s">
        <v>2548</v>
      </c>
      <c r="M915" s="3" t="str">
        <f>HYPERLINK("..\..\Imagery\ScannedPhotos\1979\CG79-318.jpg")</f>
        <v>..\..\Imagery\ScannedPhotos\1979\CG79-318.jpg</v>
      </c>
    </row>
    <row r="916" spans="1:13" x14ac:dyDescent="0.25">
      <c r="A916" t="s">
        <v>2549</v>
      </c>
      <c r="B916">
        <v>487472</v>
      </c>
      <c r="C916">
        <v>6039116</v>
      </c>
      <c r="D916">
        <v>21</v>
      </c>
      <c r="E916" t="s">
        <v>15</v>
      </c>
      <c r="F916" t="s">
        <v>2550</v>
      </c>
      <c r="G916">
        <v>1</v>
      </c>
      <c r="H916" t="s">
        <v>700</v>
      </c>
      <c r="I916" t="s">
        <v>222</v>
      </c>
      <c r="J916" t="s">
        <v>210</v>
      </c>
      <c r="K916" t="s">
        <v>20</v>
      </c>
      <c r="L916" t="s">
        <v>2551</v>
      </c>
      <c r="M916" s="3" t="str">
        <f>HYPERLINK("..\..\Imagery\ScannedPhotos\1979\CG79-320.jpg")</f>
        <v>..\..\Imagery\ScannedPhotos\1979\CG79-320.jpg</v>
      </c>
    </row>
    <row r="917" spans="1:13" x14ac:dyDescent="0.25">
      <c r="A917" t="s">
        <v>2552</v>
      </c>
      <c r="B917">
        <v>486285</v>
      </c>
      <c r="C917">
        <v>6038530</v>
      </c>
      <c r="D917">
        <v>21</v>
      </c>
      <c r="E917" t="s">
        <v>15</v>
      </c>
      <c r="F917" t="s">
        <v>2553</v>
      </c>
      <c r="G917">
        <v>1</v>
      </c>
      <c r="H917" t="s">
        <v>700</v>
      </c>
      <c r="I917" t="s">
        <v>418</v>
      </c>
      <c r="J917" t="s">
        <v>210</v>
      </c>
      <c r="K917" t="s">
        <v>20</v>
      </c>
      <c r="L917" t="s">
        <v>2554</v>
      </c>
      <c r="M917" s="3" t="str">
        <f>HYPERLINK("..\..\Imagery\ScannedPhotos\1979\CG79-321.jpg")</f>
        <v>..\..\Imagery\ScannedPhotos\1979\CG79-321.jpg</v>
      </c>
    </row>
    <row r="918" spans="1:13" x14ac:dyDescent="0.25">
      <c r="A918" t="s">
        <v>2555</v>
      </c>
      <c r="B918">
        <v>485971</v>
      </c>
      <c r="C918">
        <v>6037193</v>
      </c>
      <c r="D918">
        <v>21</v>
      </c>
      <c r="E918" t="s">
        <v>15</v>
      </c>
      <c r="F918" t="s">
        <v>2556</v>
      </c>
      <c r="G918">
        <v>1</v>
      </c>
      <c r="H918" t="s">
        <v>700</v>
      </c>
      <c r="I918" t="s">
        <v>304</v>
      </c>
      <c r="J918" t="s">
        <v>210</v>
      </c>
      <c r="K918" t="s">
        <v>20</v>
      </c>
      <c r="L918" t="s">
        <v>2557</v>
      </c>
      <c r="M918" s="3" t="str">
        <f>HYPERLINK("..\..\Imagery\ScannedPhotos\1979\CG79-322.jpg")</f>
        <v>..\..\Imagery\ScannedPhotos\1979\CG79-322.jpg</v>
      </c>
    </row>
    <row r="919" spans="1:13" x14ac:dyDescent="0.25">
      <c r="A919" t="s">
        <v>2558</v>
      </c>
      <c r="B919">
        <v>487362</v>
      </c>
      <c r="C919">
        <v>6041559</v>
      </c>
      <c r="D919">
        <v>21</v>
      </c>
      <c r="E919" t="s">
        <v>15</v>
      </c>
      <c r="F919" t="s">
        <v>2559</v>
      </c>
      <c r="G919">
        <v>1</v>
      </c>
      <c r="H919" t="s">
        <v>700</v>
      </c>
      <c r="I919" t="s">
        <v>360</v>
      </c>
      <c r="J919" t="s">
        <v>210</v>
      </c>
      <c r="K919" t="s">
        <v>20</v>
      </c>
      <c r="L919" t="s">
        <v>2560</v>
      </c>
      <c r="M919" s="3" t="str">
        <f>HYPERLINK("..\..\Imagery\ScannedPhotos\1979\CG79-325.jpg")</f>
        <v>..\..\Imagery\ScannedPhotos\1979\CG79-325.jpg</v>
      </c>
    </row>
    <row r="920" spans="1:13" x14ac:dyDescent="0.25">
      <c r="A920" t="s">
        <v>2561</v>
      </c>
      <c r="B920">
        <v>437890</v>
      </c>
      <c r="C920">
        <v>5778650</v>
      </c>
      <c r="D920">
        <v>21</v>
      </c>
      <c r="E920" t="s">
        <v>15</v>
      </c>
      <c r="F920" t="s">
        <v>2562</v>
      </c>
      <c r="G920">
        <v>3</v>
      </c>
      <c r="H920" t="s">
        <v>2563</v>
      </c>
      <c r="I920" t="s">
        <v>122</v>
      </c>
      <c r="J920" t="s">
        <v>905</v>
      </c>
      <c r="K920" t="s">
        <v>56</v>
      </c>
      <c r="L920" t="s">
        <v>2564</v>
      </c>
      <c r="M920" s="3" t="str">
        <f>HYPERLINK("..\..\Imagery\ScannedPhotos\1992\JA92-139.3.jpg")</f>
        <v>..\..\Imagery\ScannedPhotos\1992\JA92-139.3.jpg</v>
      </c>
    </row>
    <row r="921" spans="1:13" x14ac:dyDescent="0.25">
      <c r="A921" t="s">
        <v>2561</v>
      </c>
      <c r="B921">
        <v>437890</v>
      </c>
      <c r="C921">
        <v>5778650</v>
      </c>
      <c r="D921">
        <v>21</v>
      </c>
      <c r="E921" t="s">
        <v>15</v>
      </c>
      <c r="F921" t="s">
        <v>2565</v>
      </c>
      <c r="G921">
        <v>3</v>
      </c>
      <c r="H921" t="s">
        <v>2563</v>
      </c>
      <c r="I921" t="s">
        <v>114</v>
      </c>
      <c r="J921" t="s">
        <v>905</v>
      </c>
      <c r="K921" t="s">
        <v>56</v>
      </c>
      <c r="L921" t="s">
        <v>2566</v>
      </c>
      <c r="M921" s="3" t="str">
        <f>HYPERLINK("..\..\Imagery\ScannedPhotos\1992\JA92-139.1.jpg")</f>
        <v>..\..\Imagery\ScannedPhotos\1992\JA92-139.1.jpg</v>
      </c>
    </row>
    <row r="922" spans="1:13" x14ac:dyDescent="0.25">
      <c r="A922" t="s">
        <v>2561</v>
      </c>
      <c r="B922">
        <v>437890</v>
      </c>
      <c r="C922">
        <v>5778650</v>
      </c>
      <c r="D922">
        <v>21</v>
      </c>
      <c r="E922" t="s">
        <v>15</v>
      </c>
      <c r="F922" t="s">
        <v>2567</v>
      </c>
      <c r="G922">
        <v>3</v>
      </c>
      <c r="H922" t="s">
        <v>2563</v>
      </c>
      <c r="I922" t="s">
        <v>119</v>
      </c>
      <c r="J922" t="s">
        <v>905</v>
      </c>
      <c r="K922" t="s">
        <v>56</v>
      </c>
      <c r="L922" t="s">
        <v>2564</v>
      </c>
      <c r="M922" s="3" t="str">
        <f>HYPERLINK("..\..\Imagery\ScannedPhotos\1992\JA92-139.2.jpg")</f>
        <v>..\..\Imagery\ScannedPhotos\1992\JA92-139.2.jpg</v>
      </c>
    </row>
    <row r="923" spans="1:13" x14ac:dyDescent="0.25">
      <c r="A923" t="s">
        <v>2568</v>
      </c>
      <c r="B923">
        <v>553397</v>
      </c>
      <c r="C923">
        <v>5819895</v>
      </c>
      <c r="D923">
        <v>21</v>
      </c>
      <c r="E923" t="s">
        <v>15</v>
      </c>
      <c r="F923" t="s">
        <v>2569</v>
      </c>
      <c r="G923">
        <v>1</v>
      </c>
      <c r="H923" t="s">
        <v>1212</v>
      </c>
      <c r="I923" t="s">
        <v>18</v>
      </c>
      <c r="J923" t="s">
        <v>100</v>
      </c>
      <c r="K923" t="s">
        <v>56</v>
      </c>
      <c r="L923" t="s">
        <v>2570</v>
      </c>
      <c r="M923" s="3" t="str">
        <f>HYPERLINK("..\..\Imagery\ScannedPhotos\1986\JS86-003.jpg")</f>
        <v>..\..\Imagery\ScannedPhotos\1986\JS86-003.jpg</v>
      </c>
    </row>
    <row r="924" spans="1:13" x14ac:dyDescent="0.25">
      <c r="A924" t="s">
        <v>2043</v>
      </c>
      <c r="B924">
        <v>577604</v>
      </c>
      <c r="C924">
        <v>5882090</v>
      </c>
      <c r="D924">
        <v>21</v>
      </c>
      <c r="E924" t="s">
        <v>15</v>
      </c>
      <c r="F924" t="s">
        <v>2571</v>
      </c>
      <c r="G924">
        <v>5</v>
      </c>
      <c r="H924" t="s">
        <v>1507</v>
      </c>
      <c r="I924" t="s">
        <v>418</v>
      </c>
      <c r="J924" t="s">
        <v>1508</v>
      </c>
      <c r="K924" t="s">
        <v>20</v>
      </c>
      <c r="L924" t="s">
        <v>2045</v>
      </c>
      <c r="M924" s="3" t="str">
        <f>HYPERLINK("..\..\Imagery\ScannedPhotos\1985\GM85-484.1.jpg")</f>
        <v>..\..\Imagery\ScannedPhotos\1985\GM85-484.1.jpg</v>
      </c>
    </row>
    <row r="925" spans="1:13" x14ac:dyDescent="0.25">
      <c r="A925" t="s">
        <v>2043</v>
      </c>
      <c r="B925">
        <v>577604</v>
      </c>
      <c r="C925">
        <v>5882090</v>
      </c>
      <c r="D925">
        <v>21</v>
      </c>
      <c r="E925" t="s">
        <v>15</v>
      </c>
      <c r="F925" t="s">
        <v>2572</v>
      </c>
      <c r="G925">
        <v>5</v>
      </c>
      <c r="H925" t="s">
        <v>1507</v>
      </c>
      <c r="I925" t="s">
        <v>25</v>
      </c>
      <c r="J925" t="s">
        <v>1508</v>
      </c>
      <c r="K925" t="s">
        <v>56</v>
      </c>
      <c r="L925" t="s">
        <v>2573</v>
      </c>
      <c r="M925" s="3" t="str">
        <f>HYPERLINK("..\..\Imagery\ScannedPhotos\1985\GM85-484.4.jpg")</f>
        <v>..\..\Imagery\ScannedPhotos\1985\GM85-484.4.jpg</v>
      </c>
    </row>
    <row r="926" spans="1:13" x14ac:dyDescent="0.25">
      <c r="A926" t="s">
        <v>2043</v>
      </c>
      <c r="B926">
        <v>577604</v>
      </c>
      <c r="C926">
        <v>5882090</v>
      </c>
      <c r="D926">
        <v>21</v>
      </c>
      <c r="E926" t="s">
        <v>15</v>
      </c>
      <c r="F926" t="s">
        <v>2574</v>
      </c>
      <c r="G926">
        <v>5</v>
      </c>
      <c r="H926" t="s">
        <v>1507</v>
      </c>
      <c r="I926" t="s">
        <v>360</v>
      </c>
      <c r="J926" t="s">
        <v>1508</v>
      </c>
      <c r="K926" t="s">
        <v>56</v>
      </c>
      <c r="L926" t="s">
        <v>2573</v>
      </c>
      <c r="M926" s="3" t="str">
        <f>HYPERLINK("..\..\Imagery\ScannedPhotos\1985\GM85-484.5.jpg")</f>
        <v>..\..\Imagery\ScannedPhotos\1985\GM85-484.5.jpg</v>
      </c>
    </row>
    <row r="927" spans="1:13" x14ac:dyDescent="0.25">
      <c r="A927" t="s">
        <v>2575</v>
      </c>
      <c r="B927">
        <v>452446</v>
      </c>
      <c r="C927">
        <v>6007703</v>
      </c>
      <c r="D927">
        <v>21</v>
      </c>
      <c r="E927" t="s">
        <v>15</v>
      </c>
      <c r="F927" t="s">
        <v>2576</v>
      </c>
      <c r="G927">
        <v>4</v>
      </c>
      <c r="H927" t="s">
        <v>1636</v>
      </c>
      <c r="I927" t="s">
        <v>386</v>
      </c>
      <c r="J927" t="s">
        <v>652</v>
      </c>
      <c r="K927" t="s">
        <v>935</v>
      </c>
      <c r="L927" t="s">
        <v>2577</v>
      </c>
      <c r="M927" s="3" t="str">
        <f>HYPERLINK("..\..\Imagery\ScannedPhotos\1980\CG80-304.4.jpg")</f>
        <v>..\..\Imagery\ScannedPhotos\1980\CG80-304.4.jpg</v>
      </c>
    </row>
    <row r="928" spans="1:13" x14ac:dyDescent="0.25">
      <c r="A928" t="s">
        <v>2575</v>
      </c>
      <c r="B928">
        <v>452446</v>
      </c>
      <c r="C928">
        <v>6007703</v>
      </c>
      <c r="D928">
        <v>21</v>
      </c>
      <c r="E928" t="s">
        <v>15</v>
      </c>
      <c r="F928" t="s">
        <v>2578</v>
      </c>
      <c r="G928">
        <v>4</v>
      </c>
      <c r="H928" t="s">
        <v>1636</v>
      </c>
      <c r="I928" t="s">
        <v>94</v>
      </c>
      <c r="J928" t="s">
        <v>652</v>
      </c>
      <c r="K928" t="s">
        <v>20</v>
      </c>
      <c r="L928" t="s">
        <v>2579</v>
      </c>
      <c r="M928" s="3" t="str">
        <f>HYPERLINK("..\..\Imagery\ScannedPhotos\1980\CG80-304.2.jpg")</f>
        <v>..\..\Imagery\ScannedPhotos\1980\CG80-304.2.jpg</v>
      </c>
    </row>
    <row r="929" spans="1:13" x14ac:dyDescent="0.25">
      <c r="A929" t="s">
        <v>2575</v>
      </c>
      <c r="B929">
        <v>452446</v>
      </c>
      <c r="C929">
        <v>6007703</v>
      </c>
      <c r="D929">
        <v>21</v>
      </c>
      <c r="E929" t="s">
        <v>15</v>
      </c>
      <c r="F929" t="s">
        <v>2580</v>
      </c>
      <c r="G929">
        <v>4</v>
      </c>
      <c r="H929" t="s">
        <v>1636</v>
      </c>
      <c r="I929" t="s">
        <v>209</v>
      </c>
      <c r="J929" t="s">
        <v>652</v>
      </c>
      <c r="K929" t="s">
        <v>20</v>
      </c>
      <c r="L929" t="s">
        <v>2581</v>
      </c>
      <c r="M929" s="3" t="str">
        <f>HYPERLINK("..\..\Imagery\ScannedPhotos\1980\CG80-304.3.jpg")</f>
        <v>..\..\Imagery\ScannedPhotos\1980\CG80-304.3.jpg</v>
      </c>
    </row>
    <row r="930" spans="1:13" x14ac:dyDescent="0.25">
      <c r="A930" t="s">
        <v>2575</v>
      </c>
      <c r="B930">
        <v>452446</v>
      </c>
      <c r="C930">
        <v>6007703</v>
      </c>
      <c r="D930">
        <v>21</v>
      </c>
      <c r="E930" t="s">
        <v>15</v>
      </c>
      <c r="F930" t="s">
        <v>2582</v>
      </c>
      <c r="G930">
        <v>4</v>
      </c>
      <c r="H930" t="s">
        <v>1636</v>
      </c>
      <c r="I930" t="s">
        <v>375</v>
      </c>
      <c r="J930" t="s">
        <v>652</v>
      </c>
      <c r="K930" t="s">
        <v>20</v>
      </c>
      <c r="L930" t="s">
        <v>2583</v>
      </c>
      <c r="M930" s="3" t="str">
        <f>HYPERLINK("..\..\Imagery\ScannedPhotos\1980\CG80-304.1.jpg")</f>
        <v>..\..\Imagery\ScannedPhotos\1980\CG80-304.1.jpg</v>
      </c>
    </row>
    <row r="931" spans="1:13" x14ac:dyDescent="0.25">
      <c r="A931" t="s">
        <v>2584</v>
      </c>
      <c r="B931">
        <v>452819</v>
      </c>
      <c r="C931">
        <v>6007658</v>
      </c>
      <c r="D931">
        <v>21</v>
      </c>
      <c r="E931" t="s">
        <v>15</v>
      </c>
      <c r="F931" t="s">
        <v>2585</v>
      </c>
      <c r="G931">
        <v>2</v>
      </c>
      <c r="H931" t="s">
        <v>1636</v>
      </c>
      <c r="I931" t="s">
        <v>214</v>
      </c>
      <c r="J931" t="s">
        <v>652</v>
      </c>
      <c r="K931" t="s">
        <v>20</v>
      </c>
      <c r="L931" t="s">
        <v>2586</v>
      </c>
      <c r="M931" s="3" t="str">
        <f>HYPERLINK("..\..\Imagery\ScannedPhotos\1980\CG80-305.2.jpg")</f>
        <v>..\..\Imagery\ScannedPhotos\1980\CG80-305.2.jpg</v>
      </c>
    </row>
    <row r="932" spans="1:13" x14ac:dyDescent="0.25">
      <c r="A932" t="s">
        <v>2584</v>
      </c>
      <c r="B932">
        <v>452819</v>
      </c>
      <c r="C932">
        <v>6007658</v>
      </c>
      <c r="D932">
        <v>21</v>
      </c>
      <c r="E932" t="s">
        <v>15</v>
      </c>
      <c r="F932" t="s">
        <v>2587</v>
      </c>
      <c r="G932">
        <v>2</v>
      </c>
      <c r="H932" t="s">
        <v>1636</v>
      </c>
      <c r="I932" t="s">
        <v>217</v>
      </c>
      <c r="J932" t="s">
        <v>652</v>
      </c>
      <c r="K932" t="s">
        <v>20</v>
      </c>
      <c r="L932" t="s">
        <v>2588</v>
      </c>
      <c r="M932" s="3" t="str">
        <f>HYPERLINK("..\..\Imagery\ScannedPhotos\1980\CG80-305.1.jpg")</f>
        <v>..\..\Imagery\ScannedPhotos\1980\CG80-305.1.jpg</v>
      </c>
    </row>
    <row r="933" spans="1:13" x14ac:dyDescent="0.25">
      <c r="A933" t="s">
        <v>2589</v>
      </c>
      <c r="B933">
        <v>575964</v>
      </c>
      <c r="C933">
        <v>5759797</v>
      </c>
      <c r="D933">
        <v>21</v>
      </c>
      <c r="E933" t="s">
        <v>15</v>
      </c>
      <c r="F933" t="s">
        <v>2590</v>
      </c>
      <c r="G933">
        <v>1</v>
      </c>
      <c r="H933" t="s">
        <v>995</v>
      </c>
      <c r="I933" t="s">
        <v>114</v>
      </c>
      <c r="J933" t="s">
        <v>996</v>
      </c>
      <c r="K933" t="s">
        <v>56</v>
      </c>
      <c r="L933" t="s">
        <v>2591</v>
      </c>
      <c r="M933" s="3" t="str">
        <f>HYPERLINK("..\..\Imagery\ScannedPhotos\1993\CG93-761.jpg")</f>
        <v>..\..\Imagery\ScannedPhotos\1993\CG93-761.jpg</v>
      </c>
    </row>
    <row r="934" spans="1:13" x14ac:dyDescent="0.25">
      <c r="A934" t="s">
        <v>2592</v>
      </c>
      <c r="B934">
        <v>579673</v>
      </c>
      <c r="C934">
        <v>5760081</v>
      </c>
      <c r="D934">
        <v>21</v>
      </c>
      <c r="E934" t="s">
        <v>15</v>
      </c>
      <c r="F934" t="s">
        <v>2593</v>
      </c>
      <c r="G934">
        <v>3</v>
      </c>
      <c r="H934" t="s">
        <v>995</v>
      </c>
      <c r="I934" t="s">
        <v>126</v>
      </c>
      <c r="J934" t="s">
        <v>996</v>
      </c>
      <c r="K934" t="s">
        <v>20</v>
      </c>
      <c r="L934" t="s">
        <v>2594</v>
      </c>
      <c r="M934" s="3" t="str">
        <f>HYPERLINK("..\..\Imagery\ScannedPhotos\1993\CG93-774.2.jpg")</f>
        <v>..\..\Imagery\ScannedPhotos\1993\CG93-774.2.jpg</v>
      </c>
    </row>
    <row r="935" spans="1:13" x14ac:dyDescent="0.25">
      <c r="A935" t="s">
        <v>2592</v>
      </c>
      <c r="B935">
        <v>579673</v>
      </c>
      <c r="C935">
        <v>5760081</v>
      </c>
      <c r="D935">
        <v>21</v>
      </c>
      <c r="E935" t="s">
        <v>15</v>
      </c>
      <c r="F935" t="s">
        <v>2595</v>
      </c>
      <c r="G935">
        <v>3</v>
      </c>
      <c r="H935" t="s">
        <v>995</v>
      </c>
      <c r="I935" t="s">
        <v>108</v>
      </c>
      <c r="J935" t="s">
        <v>996</v>
      </c>
      <c r="K935" t="s">
        <v>20</v>
      </c>
      <c r="L935" t="s">
        <v>2594</v>
      </c>
      <c r="M935" s="3" t="str">
        <f>HYPERLINK("..\..\Imagery\ScannedPhotos\1993\CG93-774.3.jpg")</f>
        <v>..\..\Imagery\ScannedPhotos\1993\CG93-774.3.jpg</v>
      </c>
    </row>
    <row r="936" spans="1:13" x14ac:dyDescent="0.25">
      <c r="A936" t="s">
        <v>2596</v>
      </c>
      <c r="B936">
        <v>431856</v>
      </c>
      <c r="C936">
        <v>5875656</v>
      </c>
      <c r="D936">
        <v>21</v>
      </c>
      <c r="E936" t="s">
        <v>15</v>
      </c>
      <c r="F936" t="s">
        <v>2597</v>
      </c>
      <c r="G936">
        <v>1</v>
      </c>
      <c r="H936" t="s">
        <v>754</v>
      </c>
      <c r="I936" t="s">
        <v>294</v>
      </c>
      <c r="J936" t="s">
        <v>563</v>
      </c>
      <c r="K936" t="s">
        <v>20</v>
      </c>
      <c r="L936" t="s">
        <v>2598</v>
      </c>
      <c r="M936" s="3" t="str">
        <f>HYPERLINK("..\..\Imagery\ScannedPhotos\1995\CG95-001.jpg")</f>
        <v>..\..\Imagery\ScannedPhotos\1995\CG95-001.jpg</v>
      </c>
    </row>
    <row r="937" spans="1:13" x14ac:dyDescent="0.25">
      <c r="A937" t="s">
        <v>2599</v>
      </c>
      <c r="B937">
        <v>429682</v>
      </c>
      <c r="C937">
        <v>5898405</v>
      </c>
      <c r="D937">
        <v>21</v>
      </c>
      <c r="E937" t="s">
        <v>15</v>
      </c>
      <c r="F937" t="s">
        <v>2600</v>
      </c>
      <c r="G937">
        <v>1</v>
      </c>
      <c r="H937" t="s">
        <v>754</v>
      </c>
      <c r="I937" t="s">
        <v>281</v>
      </c>
      <c r="J937" t="s">
        <v>563</v>
      </c>
      <c r="K937" t="s">
        <v>20</v>
      </c>
      <c r="L937" t="s">
        <v>915</v>
      </c>
      <c r="M937" s="3" t="str">
        <f>HYPERLINK("..\..\Imagery\ScannedPhotos\1995\CG95-006.jpg")</f>
        <v>..\..\Imagery\ScannedPhotos\1995\CG95-006.jpg</v>
      </c>
    </row>
    <row r="938" spans="1:13" x14ac:dyDescent="0.25">
      <c r="A938" t="s">
        <v>2601</v>
      </c>
      <c r="B938">
        <v>429500</v>
      </c>
      <c r="C938">
        <v>5898000</v>
      </c>
      <c r="D938">
        <v>21</v>
      </c>
      <c r="E938" t="s">
        <v>15</v>
      </c>
      <c r="F938" t="s">
        <v>2602</v>
      </c>
      <c r="G938">
        <v>1</v>
      </c>
      <c r="H938" t="s">
        <v>754</v>
      </c>
      <c r="I938" t="s">
        <v>137</v>
      </c>
      <c r="J938" t="s">
        <v>563</v>
      </c>
      <c r="K938" t="s">
        <v>20</v>
      </c>
      <c r="L938" t="s">
        <v>2603</v>
      </c>
      <c r="M938" s="3" t="str">
        <f>HYPERLINK("..\..\Imagery\ScannedPhotos\1995\CG95-007.jpg")</f>
        <v>..\..\Imagery\ScannedPhotos\1995\CG95-007.jpg</v>
      </c>
    </row>
    <row r="939" spans="1:13" x14ac:dyDescent="0.25">
      <c r="A939" t="s">
        <v>523</v>
      </c>
      <c r="B939">
        <v>575599</v>
      </c>
      <c r="C939">
        <v>5756653</v>
      </c>
      <c r="D939">
        <v>21</v>
      </c>
      <c r="E939" t="s">
        <v>15</v>
      </c>
      <c r="F939" t="s">
        <v>2604</v>
      </c>
      <c r="G939">
        <v>16</v>
      </c>
      <c r="H939" t="s">
        <v>984</v>
      </c>
      <c r="I939" t="s">
        <v>137</v>
      </c>
      <c r="J939" t="s">
        <v>985</v>
      </c>
      <c r="K939" t="s">
        <v>20</v>
      </c>
      <c r="L939" t="s">
        <v>1087</v>
      </c>
      <c r="M939" s="3" t="str">
        <f>HYPERLINK("..\..\Imagery\ScannedPhotos\1993\VN93-662.5.jpg")</f>
        <v>..\..\Imagery\ScannedPhotos\1993\VN93-662.5.jpg</v>
      </c>
    </row>
    <row r="940" spans="1:13" x14ac:dyDescent="0.25">
      <c r="A940" t="s">
        <v>2605</v>
      </c>
      <c r="B940">
        <v>576197</v>
      </c>
      <c r="C940">
        <v>5757247</v>
      </c>
      <c r="D940">
        <v>21</v>
      </c>
      <c r="E940" t="s">
        <v>15</v>
      </c>
      <c r="F940" t="s">
        <v>2606</v>
      </c>
      <c r="G940">
        <v>1</v>
      </c>
      <c r="H940" t="s">
        <v>869</v>
      </c>
      <c r="I940" t="s">
        <v>147</v>
      </c>
      <c r="J940" t="s">
        <v>870</v>
      </c>
      <c r="K940" t="s">
        <v>20</v>
      </c>
      <c r="L940" t="s">
        <v>2607</v>
      </c>
      <c r="M940" s="3" t="str">
        <f>HYPERLINK("..\..\Imagery\ScannedPhotos\1993\VN93-664.jpg")</f>
        <v>..\..\Imagery\ScannedPhotos\1993\VN93-664.jpg</v>
      </c>
    </row>
    <row r="941" spans="1:13" x14ac:dyDescent="0.25">
      <c r="A941" t="s">
        <v>893</v>
      </c>
      <c r="B941">
        <v>385887</v>
      </c>
      <c r="C941">
        <v>5999284</v>
      </c>
      <c r="D941">
        <v>21</v>
      </c>
      <c r="E941" t="s">
        <v>15</v>
      </c>
      <c r="F941" t="s">
        <v>2608</v>
      </c>
      <c r="G941">
        <v>6</v>
      </c>
      <c r="H941" t="s">
        <v>651</v>
      </c>
      <c r="I941" t="s">
        <v>30</v>
      </c>
      <c r="J941" t="s">
        <v>652</v>
      </c>
      <c r="K941" t="s">
        <v>20</v>
      </c>
      <c r="L941" t="s">
        <v>2609</v>
      </c>
      <c r="M941" s="3" t="str">
        <f>HYPERLINK("..\..\Imagery\ScannedPhotos\1980\NN80-059.2.jpg")</f>
        <v>..\..\Imagery\ScannedPhotos\1980\NN80-059.2.jpg</v>
      </c>
    </row>
    <row r="942" spans="1:13" x14ac:dyDescent="0.25">
      <c r="A942" t="s">
        <v>893</v>
      </c>
      <c r="B942">
        <v>385887</v>
      </c>
      <c r="C942">
        <v>5999284</v>
      </c>
      <c r="D942">
        <v>21</v>
      </c>
      <c r="E942" t="s">
        <v>15</v>
      </c>
      <c r="F942" t="s">
        <v>2610</v>
      </c>
      <c r="G942">
        <v>6</v>
      </c>
      <c r="H942" t="s">
        <v>651</v>
      </c>
      <c r="I942" t="s">
        <v>126</v>
      </c>
      <c r="J942" t="s">
        <v>652</v>
      </c>
      <c r="K942" t="s">
        <v>20</v>
      </c>
      <c r="L942" t="s">
        <v>2611</v>
      </c>
      <c r="M942" s="3" t="str">
        <f>HYPERLINK("..\..\Imagery\ScannedPhotos\1980\NN80-059.6.jpg")</f>
        <v>..\..\Imagery\ScannedPhotos\1980\NN80-059.6.jpg</v>
      </c>
    </row>
    <row r="943" spans="1:13" x14ac:dyDescent="0.25">
      <c r="A943" t="s">
        <v>893</v>
      </c>
      <c r="B943">
        <v>385887</v>
      </c>
      <c r="C943">
        <v>5999284</v>
      </c>
      <c r="D943">
        <v>21</v>
      </c>
      <c r="E943" t="s">
        <v>15</v>
      </c>
      <c r="F943" t="s">
        <v>2612</v>
      </c>
      <c r="G943">
        <v>6</v>
      </c>
      <c r="H943" t="s">
        <v>651</v>
      </c>
      <c r="I943" t="s">
        <v>122</v>
      </c>
      <c r="J943" t="s">
        <v>652</v>
      </c>
      <c r="K943" t="s">
        <v>20</v>
      </c>
      <c r="L943" t="s">
        <v>2613</v>
      </c>
      <c r="M943" s="3" t="str">
        <f>HYPERLINK("..\..\Imagery\ScannedPhotos\1980\NN80-059.5.jpg")</f>
        <v>..\..\Imagery\ScannedPhotos\1980\NN80-059.5.jpg</v>
      </c>
    </row>
    <row r="944" spans="1:13" x14ac:dyDescent="0.25">
      <c r="A944" t="s">
        <v>2614</v>
      </c>
      <c r="B944">
        <v>386933</v>
      </c>
      <c r="C944">
        <v>5824802</v>
      </c>
      <c r="D944">
        <v>21</v>
      </c>
      <c r="E944" t="s">
        <v>15</v>
      </c>
      <c r="F944" t="s">
        <v>2615</v>
      </c>
      <c r="G944">
        <v>2</v>
      </c>
      <c r="H944" t="s">
        <v>775</v>
      </c>
      <c r="I944" t="s">
        <v>137</v>
      </c>
      <c r="J944" t="s">
        <v>771</v>
      </c>
      <c r="K944" t="s">
        <v>56</v>
      </c>
      <c r="L944" t="s">
        <v>2616</v>
      </c>
      <c r="M944" s="3" t="str">
        <f>HYPERLINK("..\..\Imagery\ScannedPhotos\1997\CG97-234.1.jpg")</f>
        <v>..\..\Imagery\ScannedPhotos\1997\CG97-234.1.jpg</v>
      </c>
    </row>
    <row r="945" spans="1:13" x14ac:dyDescent="0.25">
      <c r="A945" t="s">
        <v>2614</v>
      </c>
      <c r="B945">
        <v>386933</v>
      </c>
      <c r="C945">
        <v>5824802</v>
      </c>
      <c r="D945">
        <v>21</v>
      </c>
      <c r="E945" t="s">
        <v>15</v>
      </c>
      <c r="F945" t="s">
        <v>2617</v>
      </c>
      <c r="G945">
        <v>2</v>
      </c>
      <c r="H945" t="s">
        <v>775</v>
      </c>
      <c r="I945" t="s">
        <v>18</v>
      </c>
      <c r="J945" t="s">
        <v>771</v>
      </c>
      <c r="K945" t="s">
        <v>56</v>
      </c>
      <c r="L945" t="s">
        <v>2616</v>
      </c>
      <c r="M945" s="3" t="str">
        <f>HYPERLINK("..\..\Imagery\ScannedPhotos\1997\CG97-234.2.jpg")</f>
        <v>..\..\Imagery\ScannedPhotos\1997\CG97-234.2.jpg</v>
      </c>
    </row>
    <row r="946" spans="1:13" x14ac:dyDescent="0.25">
      <c r="A946" t="s">
        <v>2618</v>
      </c>
      <c r="B946">
        <v>398333</v>
      </c>
      <c r="C946">
        <v>5822328</v>
      </c>
      <c r="D946">
        <v>21</v>
      </c>
      <c r="E946" t="s">
        <v>15</v>
      </c>
      <c r="F946" t="s">
        <v>2619</v>
      </c>
      <c r="G946">
        <v>1</v>
      </c>
      <c r="H946" t="s">
        <v>775</v>
      </c>
      <c r="I946" t="s">
        <v>69</v>
      </c>
      <c r="J946" t="s">
        <v>771</v>
      </c>
      <c r="K946" t="s">
        <v>20</v>
      </c>
      <c r="L946" t="s">
        <v>2620</v>
      </c>
      <c r="M946" s="3" t="str">
        <f>HYPERLINK("..\..\Imagery\ScannedPhotos\1997\CG97-238.jpg")</f>
        <v>..\..\Imagery\ScannedPhotos\1997\CG97-238.jpg</v>
      </c>
    </row>
    <row r="947" spans="1:13" x14ac:dyDescent="0.25">
      <c r="A947" t="s">
        <v>2621</v>
      </c>
      <c r="B947">
        <v>383298</v>
      </c>
      <c r="C947">
        <v>5820454</v>
      </c>
      <c r="D947">
        <v>21</v>
      </c>
      <c r="E947" t="s">
        <v>15</v>
      </c>
      <c r="F947" t="s">
        <v>2622</v>
      </c>
      <c r="G947">
        <v>2</v>
      </c>
      <c r="H947" t="s">
        <v>775</v>
      </c>
      <c r="I947" t="s">
        <v>209</v>
      </c>
      <c r="J947" t="s">
        <v>771</v>
      </c>
      <c r="K947" t="s">
        <v>56</v>
      </c>
      <c r="L947" t="s">
        <v>772</v>
      </c>
      <c r="M947" s="3" t="str">
        <f>HYPERLINK("..\..\Imagery\ScannedPhotos\1997\CG97-249.1.jpg")</f>
        <v>..\..\Imagery\ScannedPhotos\1997\CG97-249.1.jpg</v>
      </c>
    </row>
    <row r="948" spans="1:13" x14ac:dyDescent="0.25">
      <c r="A948" t="s">
        <v>2623</v>
      </c>
      <c r="B948">
        <v>361804</v>
      </c>
      <c r="C948">
        <v>5862245</v>
      </c>
      <c r="D948">
        <v>21</v>
      </c>
      <c r="E948" t="s">
        <v>15</v>
      </c>
      <c r="F948" t="s">
        <v>2624</v>
      </c>
      <c r="G948">
        <v>1</v>
      </c>
      <c r="H948" t="s">
        <v>259</v>
      </c>
      <c r="I948" t="s">
        <v>41</v>
      </c>
      <c r="J948" t="s">
        <v>260</v>
      </c>
      <c r="K948" t="s">
        <v>56</v>
      </c>
      <c r="L948" t="s">
        <v>2625</v>
      </c>
      <c r="M948" s="3" t="str">
        <f>HYPERLINK("..\..\Imagery\ScannedPhotos\1998\CG98-041.jpg")</f>
        <v>..\..\Imagery\ScannedPhotos\1998\CG98-041.jpg</v>
      </c>
    </row>
    <row r="949" spans="1:13" x14ac:dyDescent="0.25">
      <c r="A949" t="s">
        <v>2626</v>
      </c>
      <c r="B949">
        <v>483575</v>
      </c>
      <c r="C949">
        <v>5820650</v>
      </c>
      <c r="D949">
        <v>21</v>
      </c>
      <c r="E949" t="s">
        <v>15</v>
      </c>
      <c r="F949" t="s">
        <v>2627</v>
      </c>
      <c r="G949">
        <v>6</v>
      </c>
      <c r="H949" t="s">
        <v>412</v>
      </c>
      <c r="I949" t="s">
        <v>108</v>
      </c>
      <c r="J949" t="s">
        <v>413</v>
      </c>
      <c r="K949" t="s">
        <v>56</v>
      </c>
      <c r="L949" t="s">
        <v>2628</v>
      </c>
      <c r="M949" s="3" t="str">
        <f>HYPERLINK("..\..\Imagery\ScannedPhotos\1991\DD91-101.5.jpg")</f>
        <v>..\..\Imagery\ScannedPhotos\1991\DD91-101.5.jpg</v>
      </c>
    </row>
    <row r="950" spans="1:13" x14ac:dyDescent="0.25">
      <c r="A950" t="s">
        <v>2626</v>
      </c>
      <c r="B950">
        <v>483575</v>
      </c>
      <c r="C950">
        <v>5820650</v>
      </c>
      <c r="D950">
        <v>21</v>
      </c>
      <c r="E950" t="s">
        <v>15</v>
      </c>
      <c r="F950" t="s">
        <v>2629</v>
      </c>
      <c r="G950">
        <v>6</v>
      </c>
      <c r="H950" t="s">
        <v>412</v>
      </c>
      <c r="I950" t="s">
        <v>132</v>
      </c>
      <c r="J950" t="s">
        <v>413</v>
      </c>
      <c r="K950" t="s">
        <v>20</v>
      </c>
      <c r="L950" t="s">
        <v>2630</v>
      </c>
      <c r="M950" s="3" t="str">
        <f>HYPERLINK("..\..\Imagery\ScannedPhotos\1991\DD91-101.6.jpg")</f>
        <v>..\..\Imagery\ScannedPhotos\1991\DD91-101.6.jpg</v>
      </c>
    </row>
    <row r="951" spans="1:13" x14ac:dyDescent="0.25">
      <c r="A951" t="s">
        <v>2626</v>
      </c>
      <c r="B951">
        <v>483575</v>
      </c>
      <c r="C951">
        <v>5820650</v>
      </c>
      <c r="D951">
        <v>21</v>
      </c>
      <c r="E951" t="s">
        <v>15</v>
      </c>
      <c r="F951" t="s">
        <v>2631</v>
      </c>
      <c r="G951">
        <v>6</v>
      </c>
      <c r="H951" t="s">
        <v>412</v>
      </c>
      <c r="I951" t="s">
        <v>114</v>
      </c>
      <c r="J951" t="s">
        <v>413</v>
      </c>
      <c r="K951" t="s">
        <v>56</v>
      </c>
      <c r="L951" t="s">
        <v>2632</v>
      </c>
      <c r="M951" s="3" t="str">
        <f>HYPERLINK("..\..\Imagery\ScannedPhotos\1991\DD91-101.1.jpg")</f>
        <v>..\..\Imagery\ScannedPhotos\1991\DD91-101.1.jpg</v>
      </c>
    </row>
    <row r="952" spans="1:13" x14ac:dyDescent="0.25">
      <c r="A952" t="s">
        <v>2626</v>
      </c>
      <c r="B952">
        <v>483575</v>
      </c>
      <c r="C952">
        <v>5820650</v>
      </c>
      <c r="D952">
        <v>21</v>
      </c>
      <c r="E952" t="s">
        <v>15</v>
      </c>
      <c r="F952" t="s">
        <v>2633</v>
      </c>
      <c r="G952">
        <v>6</v>
      </c>
      <c r="H952" t="s">
        <v>412</v>
      </c>
      <c r="I952" t="s">
        <v>119</v>
      </c>
      <c r="J952" t="s">
        <v>413</v>
      </c>
      <c r="K952" t="s">
        <v>56</v>
      </c>
      <c r="L952" t="s">
        <v>2632</v>
      </c>
      <c r="M952" s="3" t="str">
        <f>HYPERLINK("..\..\Imagery\ScannedPhotos\1991\DD91-101.2.jpg")</f>
        <v>..\..\Imagery\ScannedPhotos\1991\DD91-101.2.jpg</v>
      </c>
    </row>
    <row r="953" spans="1:13" x14ac:dyDescent="0.25">
      <c r="A953" t="s">
        <v>2626</v>
      </c>
      <c r="B953">
        <v>483575</v>
      </c>
      <c r="C953">
        <v>5820650</v>
      </c>
      <c r="D953">
        <v>21</v>
      </c>
      <c r="E953" t="s">
        <v>15</v>
      </c>
      <c r="F953" t="s">
        <v>2634</v>
      </c>
      <c r="G953">
        <v>6</v>
      </c>
      <c r="H953" t="s">
        <v>412</v>
      </c>
      <c r="I953" t="s">
        <v>122</v>
      </c>
      <c r="J953" t="s">
        <v>413</v>
      </c>
      <c r="K953" t="s">
        <v>20</v>
      </c>
      <c r="L953" t="s">
        <v>642</v>
      </c>
      <c r="M953" s="3" t="str">
        <f>HYPERLINK("..\..\Imagery\ScannedPhotos\1991\DD91-101.3.jpg")</f>
        <v>..\..\Imagery\ScannedPhotos\1991\DD91-101.3.jpg</v>
      </c>
    </row>
    <row r="954" spans="1:13" x14ac:dyDescent="0.25">
      <c r="A954" t="s">
        <v>2626</v>
      </c>
      <c r="B954">
        <v>483575</v>
      </c>
      <c r="C954">
        <v>5820650</v>
      </c>
      <c r="D954">
        <v>21</v>
      </c>
      <c r="E954" t="s">
        <v>15</v>
      </c>
      <c r="F954" t="s">
        <v>2635</v>
      </c>
      <c r="G954">
        <v>6</v>
      </c>
      <c r="H954" t="s">
        <v>412</v>
      </c>
      <c r="I954" t="s">
        <v>126</v>
      </c>
      <c r="J954" t="s">
        <v>413</v>
      </c>
      <c r="K954" t="s">
        <v>20</v>
      </c>
      <c r="L954" t="s">
        <v>2630</v>
      </c>
      <c r="M954" s="3" t="str">
        <f>HYPERLINK("..\..\Imagery\ScannedPhotos\1991\DD91-101.4.jpg")</f>
        <v>..\..\Imagery\ScannedPhotos\1991\DD91-101.4.jpg</v>
      </c>
    </row>
    <row r="955" spans="1:13" x14ac:dyDescent="0.25">
      <c r="A955" t="s">
        <v>2636</v>
      </c>
      <c r="B955">
        <v>474450</v>
      </c>
      <c r="C955">
        <v>5860650</v>
      </c>
      <c r="D955">
        <v>21</v>
      </c>
      <c r="E955" t="s">
        <v>15</v>
      </c>
      <c r="F955" t="s">
        <v>2637</v>
      </c>
      <c r="G955">
        <v>1</v>
      </c>
      <c r="H955" t="s">
        <v>412</v>
      </c>
      <c r="I955" t="s">
        <v>52</v>
      </c>
      <c r="J955" t="s">
        <v>413</v>
      </c>
      <c r="K955" t="s">
        <v>56</v>
      </c>
      <c r="L955" t="s">
        <v>2638</v>
      </c>
      <c r="M955" s="3" t="str">
        <f>HYPERLINK("..\..\Imagery\ScannedPhotos\1991\DD91-103.jpg")</f>
        <v>..\..\Imagery\ScannedPhotos\1991\DD91-103.jpg</v>
      </c>
    </row>
    <row r="956" spans="1:13" x14ac:dyDescent="0.25">
      <c r="A956" t="s">
        <v>1854</v>
      </c>
      <c r="B956">
        <v>328058</v>
      </c>
      <c r="C956">
        <v>6005701</v>
      </c>
      <c r="D956">
        <v>21</v>
      </c>
      <c r="E956" t="s">
        <v>15</v>
      </c>
      <c r="F956" t="s">
        <v>2639</v>
      </c>
      <c r="G956">
        <v>6</v>
      </c>
      <c r="H956" t="s">
        <v>268</v>
      </c>
      <c r="I956" t="s">
        <v>137</v>
      </c>
      <c r="J956" t="s">
        <v>269</v>
      </c>
      <c r="K956" t="s">
        <v>20</v>
      </c>
      <c r="L956" t="s">
        <v>1856</v>
      </c>
      <c r="M956" s="3" t="str">
        <f>HYPERLINK("..\..\Imagery\ScannedPhotos\1983\CG83-345.5.jpg")</f>
        <v>..\..\Imagery\ScannedPhotos\1983\CG83-345.5.jpg</v>
      </c>
    </row>
    <row r="957" spans="1:13" x14ac:dyDescent="0.25">
      <c r="A957" t="s">
        <v>2640</v>
      </c>
      <c r="B957">
        <v>407033</v>
      </c>
      <c r="C957">
        <v>5996862</v>
      </c>
      <c r="D957">
        <v>21</v>
      </c>
      <c r="E957" t="s">
        <v>15</v>
      </c>
      <c r="F957" t="s">
        <v>2641</v>
      </c>
      <c r="G957">
        <v>1</v>
      </c>
      <c r="H957" t="s">
        <v>1156</v>
      </c>
      <c r="I957" t="s">
        <v>25</v>
      </c>
      <c r="J957" t="s">
        <v>95</v>
      </c>
      <c r="K957" t="s">
        <v>20</v>
      </c>
      <c r="L957" t="s">
        <v>2642</v>
      </c>
      <c r="M957" s="3" t="str">
        <f>HYPERLINK("..\..\Imagery\ScannedPhotos\1980\CG80-137.jpg")</f>
        <v>..\..\Imagery\ScannedPhotos\1980\CG80-137.jpg</v>
      </c>
    </row>
    <row r="958" spans="1:13" x14ac:dyDescent="0.25">
      <c r="A958" t="s">
        <v>2643</v>
      </c>
      <c r="B958">
        <v>480266</v>
      </c>
      <c r="C958">
        <v>5930174</v>
      </c>
      <c r="D958">
        <v>21</v>
      </c>
      <c r="E958" t="s">
        <v>15</v>
      </c>
      <c r="F958" t="s">
        <v>2644</v>
      </c>
      <c r="G958">
        <v>3</v>
      </c>
      <c r="H958" t="s">
        <v>2645</v>
      </c>
      <c r="I958" t="s">
        <v>647</v>
      </c>
      <c r="J958" t="s">
        <v>48</v>
      </c>
      <c r="K958" t="s">
        <v>20</v>
      </c>
      <c r="L958" t="s">
        <v>2646</v>
      </c>
      <c r="M958" s="3" t="str">
        <f>HYPERLINK("..\..\Imagery\ScannedPhotos\1981\CG81-218.3.jpg")</f>
        <v>..\..\Imagery\ScannedPhotos\1981\CG81-218.3.jpg</v>
      </c>
    </row>
    <row r="959" spans="1:13" x14ac:dyDescent="0.25">
      <c r="A959" t="s">
        <v>2643</v>
      </c>
      <c r="B959">
        <v>480266</v>
      </c>
      <c r="C959">
        <v>5930174</v>
      </c>
      <c r="D959">
        <v>21</v>
      </c>
      <c r="E959" t="s">
        <v>15</v>
      </c>
      <c r="F959" t="s">
        <v>2647</v>
      </c>
      <c r="G959">
        <v>3</v>
      </c>
      <c r="H959" t="s">
        <v>2645</v>
      </c>
      <c r="I959" t="s">
        <v>360</v>
      </c>
      <c r="J959" t="s">
        <v>48</v>
      </c>
      <c r="K959" t="s">
        <v>20</v>
      </c>
      <c r="L959" t="s">
        <v>2646</v>
      </c>
      <c r="M959" s="3" t="str">
        <f>HYPERLINK("..\..\Imagery\ScannedPhotos\1981\CG81-218.2.jpg")</f>
        <v>..\..\Imagery\ScannedPhotos\1981\CG81-218.2.jpg</v>
      </c>
    </row>
    <row r="960" spans="1:13" x14ac:dyDescent="0.25">
      <c r="A960" t="s">
        <v>2643</v>
      </c>
      <c r="B960">
        <v>480266</v>
      </c>
      <c r="C960">
        <v>5930174</v>
      </c>
      <c r="D960">
        <v>21</v>
      </c>
      <c r="E960" t="s">
        <v>15</v>
      </c>
      <c r="F960" t="s">
        <v>2648</v>
      </c>
      <c r="G960">
        <v>3</v>
      </c>
      <c r="H960" t="s">
        <v>2645</v>
      </c>
      <c r="I960" t="s">
        <v>25</v>
      </c>
      <c r="J960" t="s">
        <v>48</v>
      </c>
      <c r="K960" t="s">
        <v>20</v>
      </c>
      <c r="L960" t="s">
        <v>2646</v>
      </c>
      <c r="M960" s="3" t="str">
        <f>HYPERLINK("..\..\Imagery\ScannedPhotos\1981\CG81-218.1.jpg")</f>
        <v>..\..\Imagery\ScannedPhotos\1981\CG81-218.1.jpg</v>
      </c>
    </row>
    <row r="961" spans="1:13" x14ac:dyDescent="0.25">
      <c r="A961" t="s">
        <v>2649</v>
      </c>
      <c r="B961">
        <v>480710</v>
      </c>
      <c r="C961">
        <v>5934492</v>
      </c>
      <c r="D961">
        <v>21</v>
      </c>
      <c r="E961" t="s">
        <v>15</v>
      </c>
      <c r="F961" t="s">
        <v>2650</v>
      </c>
      <c r="G961">
        <v>1</v>
      </c>
      <c r="H961" t="s">
        <v>2645</v>
      </c>
      <c r="I961" t="s">
        <v>195</v>
      </c>
      <c r="J961" t="s">
        <v>48</v>
      </c>
      <c r="K961" t="s">
        <v>20</v>
      </c>
      <c r="L961" t="s">
        <v>2646</v>
      </c>
      <c r="M961" s="3" t="str">
        <f>HYPERLINK("..\..\Imagery\ScannedPhotos\1981\CG81-225.jpg")</f>
        <v>..\..\Imagery\ScannedPhotos\1981\CG81-225.jpg</v>
      </c>
    </row>
    <row r="962" spans="1:13" x14ac:dyDescent="0.25">
      <c r="A962" t="s">
        <v>2651</v>
      </c>
      <c r="B962">
        <v>480928</v>
      </c>
      <c r="C962">
        <v>5936772</v>
      </c>
      <c r="D962">
        <v>21</v>
      </c>
      <c r="E962" t="s">
        <v>15</v>
      </c>
      <c r="F962" t="s">
        <v>2652</v>
      </c>
      <c r="G962">
        <v>2</v>
      </c>
      <c r="H962" t="s">
        <v>1188</v>
      </c>
      <c r="I962" t="s">
        <v>137</v>
      </c>
      <c r="J962" t="s">
        <v>48</v>
      </c>
      <c r="K962" t="s">
        <v>20</v>
      </c>
      <c r="L962" t="s">
        <v>2653</v>
      </c>
      <c r="M962" s="3" t="str">
        <f>HYPERLINK("..\..\Imagery\ScannedPhotos\1981\CG81-231.2.jpg")</f>
        <v>..\..\Imagery\ScannedPhotos\1981\CG81-231.2.jpg</v>
      </c>
    </row>
    <row r="963" spans="1:13" x14ac:dyDescent="0.25">
      <c r="A963" t="s">
        <v>2651</v>
      </c>
      <c r="B963">
        <v>480928</v>
      </c>
      <c r="C963">
        <v>5936772</v>
      </c>
      <c r="D963">
        <v>21</v>
      </c>
      <c r="E963" t="s">
        <v>15</v>
      </c>
      <c r="F963" t="s">
        <v>2654</v>
      </c>
      <c r="G963">
        <v>2</v>
      </c>
      <c r="H963" t="s">
        <v>1188</v>
      </c>
      <c r="I963" t="s">
        <v>79</v>
      </c>
      <c r="J963" t="s">
        <v>48</v>
      </c>
      <c r="K963" t="s">
        <v>20</v>
      </c>
      <c r="L963" t="s">
        <v>2653</v>
      </c>
      <c r="M963" s="3" t="str">
        <f>HYPERLINK("..\..\Imagery\ScannedPhotos\1981\CG81-231.1.jpg")</f>
        <v>..\..\Imagery\ScannedPhotos\1981\CG81-231.1.jpg</v>
      </c>
    </row>
    <row r="964" spans="1:13" x14ac:dyDescent="0.25">
      <c r="A964" t="s">
        <v>2655</v>
      </c>
      <c r="B964">
        <v>481107</v>
      </c>
      <c r="C964">
        <v>5937241</v>
      </c>
      <c r="D964">
        <v>21</v>
      </c>
      <c r="E964" t="s">
        <v>15</v>
      </c>
      <c r="F964" t="s">
        <v>2656</v>
      </c>
      <c r="G964">
        <v>1</v>
      </c>
      <c r="H964" t="s">
        <v>1188</v>
      </c>
      <c r="I964" t="s">
        <v>18</v>
      </c>
      <c r="J964" t="s">
        <v>48</v>
      </c>
      <c r="K964" t="s">
        <v>20</v>
      </c>
      <c r="L964" t="s">
        <v>2657</v>
      </c>
      <c r="M964" s="3" t="str">
        <f>HYPERLINK("..\..\Imagery\ScannedPhotos\1981\CG81-232.jpg")</f>
        <v>..\..\Imagery\ScannedPhotos\1981\CG81-232.jpg</v>
      </c>
    </row>
    <row r="965" spans="1:13" x14ac:dyDescent="0.25">
      <c r="A965" t="s">
        <v>2658</v>
      </c>
      <c r="B965">
        <v>480811</v>
      </c>
      <c r="C965">
        <v>5937176</v>
      </c>
      <c r="D965">
        <v>21</v>
      </c>
      <c r="E965" t="s">
        <v>15</v>
      </c>
      <c r="F965" t="s">
        <v>2659</v>
      </c>
      <c r="G965">
        <v>1</v>
      </c>
      <c r="H965" t="s">
        <v>1188</v>
      </c>
      <c r="I965" t="s">
        <v>74</v>
      </c>
      <c r="J965" t="s">
        <v>48</v>
      </c>
      <c r="K965" t="s">
        <v>109</v>
      </c>
      <c r="L965" t="s">
        <v>2660</v>
      </c>
      <c r="M965" s="3" t="str">
        <f>HYPERLINK("..\..\Imagery\ScannedPhotos\1981\CG81-233.3.jpg")</f>
        <v>..\..\Imagery\ScannedPhotos\1981\CG81-233.3.jpg</v>
      </c>
    </row>
    <row r="966" spans="1:13" x14ac:dyDescent="0.25">
      <c r="A966" t="s">
        <v>2658</v>
      </c>
      <c r="B966">
        <v>480811</v>
      </c>
      <c r="C966">
        <v>5937176</v>
      </c>
      <c r="D966">
        <v>21</v>
      </c>
      <c r="E966" t="s">
        <v>15</v>
      </c>
      <c r="F966" t="s">
        <v>2661</v>
      </c>
      <c r="G966">
        <v>3</v>
      </c>
      <c r="H966" t="s">
        <v>1188</v>
      </c>
      <c r="I966" t="s">
        <v>35</v>
      </c>
      <c r="J966" t="s">
        <v>48</v>
      </c>
      <c r="K966" t="s">
        <v>20</v>
      </c>
      <c r="L966" t="s">
        <v>2662</v>
      </c>
      <c r="M966" s="3" t="str">
        <f>HYPERLINK("..\..\Imagery\ScannedPhotos\1981\CG81-233.1.jpg")</f>
        <v>..\..\Imagery\ScannedPhotos\1981\CG81-233.1.jpg</v>
      </c>
    </row>
    <row r="967" spans="1:13" x14ac:dyDescent="0.25">
      <c r="A967" t="s">
        <v>2658</v>
      </c>
      <c r="B967">
        <v>480811</v>
      </c>
      <c r="C967">
        <v>5937176</v>
      </c>
      <c r="D967">
        <v>21</v>
      </c>
      <c r="E967" t="s">
        <v>15</v>
      </c>
      <c r="F967" t="s">
        <v>2663</v>
      </c>
      <c r="G967">
        <v>3</v>
      </c>
      <c r="H967" t="s">
        <v>1188</v>
      </c>
      <c r="I967" t="s">
        <v>69</v>
      </c>
      <c r="J967" t="s">
        <v>48</v>
      </c>
      <c r="K967" t="s">
        <v>20</v>
      </c>
      <c r="L967" t="s">
        <v>2664</v>
      </c>
      <c r="M967" s="3" t="str">
        <f>HYPERLINK("..\..\Imagery\ScannedPhotos\1981\CG81-233.2.jpg")</f>
        <v>..\..\Imagery\ScannedPhotos\1981\CG81-233.2.jpg</v>
      </c>
    </row>
    <row r="968" spans="1:13" x14ac:dyDescent="0.25">
      <c r="A968" t="s">
        <v>756</v>
      </c>
      <c r="B968">
        <v>411385</v>
      </c>
      <c r="C968">
        <v>5997364</v>
      </c>
      <c r="D968">
        <v>21</v>
      </c>
      <c r="E968" t="s">
        <v>15</v>
      </c>
      <c r="F968" t="s">
        <v>2665</v>
      </c>
      <c r="G968">
        <v>4</v>
      </c>
      <c r="H968" t="s">
        <v>758</v>
      </c>
      <c r="I968" t="s">
        <v>418</v>
      </c>
      <c r="J968" t="s">
        <v>759</v>
      </c>
      <c r="K968" t="s">
        <v>20</v>
      </c>
      <c r="L968" t="s">
        <v>760</v>
      </c>
      <c r="M968" s="3" t="str">
        <f>HYPERLINK("..\..\Imagery\ScannedPhotos\1980\RG80-061.4.jpg")</f>
        <v>..\..\Imagery\ScannedPhotos\1980\RG80-061.4.jpg</v>
      </c>
    </row>
    <row r="969" spans="1:13" x14ac:dyDescent="0.25">
      <c r="A969" t="s">
        <v>1697</v>
      </c>
      <c r="B969">
        <v>411720</v>
      </c>
      <c r="C969">
        <v>5997299</v>
      </c>
      <c r="D969">
        <v>21</v>
      </c>
      <c r="E969" t="s">
        <v>15</v>
      </c>
      <c r="F969" t="s">
        <v>2666</v>
      </c>
      <c r="G969">
        <v>3</v>
      </c>
      <c r="H969" t="s">
        <v>758</v>
      </c>
      <c r="I969" t="s">
        <v>25</v>
      </c>
      <c r="J969" t="s">
        <v>759</v>
      </c>
      <c r="K969" t="s">
        <v>20</v>
      </c>
      <c r="L969" t="s">
        <v>1699</v>
      </c>
      <c r="M969" s="3" t="str">
        <f>HYPERLINK("..\..\Imagery\ScannedPhotos\1980\RG80-062.3.jpg")</f>
        <v>..\..\Imagery\ScannedPhotos\1980\RG80-062.3.jpg</v>
      </c>
    </row>
    <row r="970" spans="1:13" x14ac:dyDescent="0.25">
      <c r="A970" t="s">
        <v>1697</v>
      </c>
      <c r="B970">
        <v>411720</v>
      </c>
      <c r="C970">
        <v>5997299</v>
      </c>
      <c r="D970">
        <v>21</v>
      </c>
      <c r="E970" t="s">
        <v>15</v>
      </c>
      <c r="F970" t="s">
        <v>2667</v>
      </c>
      <c r="G970">
        <v>3</v>
      </c>
      <c r="H970" t="s">
        <v>758</v>
      </c>
      <c r="I970" t="s">
        <v>195</v>
      </c>
      <c r="J970" t="s">
        <v>759</v>
      </c>
      <c r="K970" t="s">
        <v>20</v>
      </c>
      <c r="L970" t="s">
        <v>1699</v>
      </c>
      <c r="M970" s="3" t="str">
        <f>HYPERLINK("..\..\Imagery\ScannedPhotos\1980\RG80-062.2.jpg")</f>
        <v>..\..\Imagery\ScannedPhotos\1980\RG80-062.2.jpg</v>
      </c>
    </row>
    <row r="971" spans="1:13" x14ac:dyDescent="0.25">
      <c r="A971" t="s">
        <v>32</v>
      </c>
      <c r="B971">
        <v>596446</v>
      </c>
      <c r="C971">
        <v>5792950</v>
      </c>
      <c r="D971">
        <v>21</v>
      </c>
      <c r="E971" t="s">
        <v>15</v>
      </c>
      <c r="F971" t="s">
        <v>2668</v>
      </c>
      <c r="G971">
        <v>40</v>
      </c>
      <c r="H971" t="s">
        <v>813</v>
      </c>
      <c r="I971" t="s">
        <v>52</v>
      </c>
      <c r="J971" t="s">
        <v>814</v>
      </c>
      <c r="K971" t="s">
        <v>56</v>
      </c>
      <c r="L971" t="s">
        <v>2669</v>
      </c>
      <c r="M971" s="3" t="str">
        <f>HYPERLINK("..\..\Imagery\ScannedPhotos\1987\CG87-488.9.jpg")</f>
        <v>..\..\Imagery\ScannedPhotos\1987\CG87-488.9.jpg</v>
      </c>
    </row>
    <row r="972" spans="1:13" x14ac:dyDescent="0.25">
      <c r="A972" t="s">
        <v>32</v>
      </c>
      <c r="B972">
        <v>596446</v>
      </c>
      <c r="C972">
        <v>5792950</v>
      </c>
      <c r="D972">
        <v>21</v>
      </c>
      <c r="E972" t="s">
        <v>15</v>
      </c>
      <c r="F972" t="s">
        <v>2670</v>
      </c>
      <c r="G972">
        <v>40</v>
      </c>
      <c r="H972" t="s">
        <v>34</v>
      </c>
      <c r="I972" t="s">
        <v>214</v>
      </c>
      <c r="J972" t="s">
        <v>36</v>
      </c>
      <c r="K972" t="s">
        <v>20</v>
      </c>
      <c r="L972" t="s">
        <v>2671</v>
      </c>
      <c r="M972" s="3" t="str">
        <f>HYPERLINK("..\..\Imagery\ScannedPhotos\1987\CG87-488.18.jpg")</f>
        <v>..\..\Imagery\ScannedPhotos\1987\CG87-488.18.jpg</v>
      </c>
    </row>
    <row r="973" spans="1:13" x14ac:dyDescent="0.25">
      <c r="A973" t="s">
        <v>32</v>
      </c>
      <c r="B973">
        <v>596446</v>
      </c>
      <c r="C973">
        <v>5792950</v>
      </c>
      <c r="D973">
        <v>21</v>
      </c>
      <c r="E973" t="s">
        <v>15</v>
      </c>
      <c r="F973" t="s">
        <v>2672</v>
      </c>
      <c r="G973">
        <v>40</v>
      </c>
      <c r="H973" t="s">
        <v>1650</v>
      </c>
      <c r="I973" t="s">
        <v>129</v>
      </c>
      <c r="J973" t="s">
        <v>1651</v>
      </c>
      <c r="K973" t="s">
        <v>20</v>
      </c>
      <c r="L973" t="s">
        <v>2673</v>
      </c>
      <c r="M973" s="3" t="str">
        <f>HYPERLINK("..\..\Imagery\ScannedPhotos\1987\CG87-488.5.jpg")</f>
        <v>..\..\Imagery\ScannedPhotos\1987\CG87-488.5.jpg</v>
      </c>
    </row>
    <row r="974" spans="1:13" x14ac:dyDescent="0.25">
      <c r="A974" t="s">
        <v>32</v>
      </c>
      <c r="B974">
        <v>596446</v>
      </c>
      <c r="C974">
        <v>5792950</v>
      </c>
      <c r="D974">
        <v>21</v>
      </c>
      <c r="E974" t="s">
        <v>15</v>
      </c>
      <c r="F974" t="s">
        <v>2674</v>
      </c>
      <c r="G974">
        <v>40</v>
      </c>
      <c r="H974" t="s">
        <v>1650</v>
      </c>
      <c r="I974" t="s">
        <v>122</v>
      </c>
      <c r="J974" t="s">
        <v>1651</v>
      </c>
      <c r="K974" t="s">
        <v>20</v>
      </c>
      <c r="L974" t="s">
        <v>2675</v>
      </c>
      <c r="M974" s="3" t="str">
        <f>HYPERLINK("..\..\Imagery\ScannedPhotos\1987\CG87-488.1.jpg")</f>
        <v>..\..\Imagery\ScannedPhotos\1987\CG87-488.1.jpg</v>
      </c>
    </row>
    <row r="975" spans="1:13" x14ac:dyDescent="0.25">
      <c r="A975" t="s">
        <v>32</v>
      </c>
      <c r="B975">
        <v>596446</v>
      </c>
      <c r="C975">
        <v>5792950</v>
      </c>
      <c r="D975">
        <v>21</v>
      </c>
      <c r="E975" t="s">
        <v>15</v>
      </c>
      <c r="F975" t="s">
        <v>2676</v>
      </c>
      <c r="G975">
        <v>40</v>
      </c>
      <c r="H975" t="s">
        <v>1650</v>
      </c>
      <c r="I975" t="s">
        <v>132</v>
      </c>
      <c r="J975" t="s">
        <v>1651</v>
      </c>
      <c r="K975" t="s">
        <v>20</v>
      </c>
      <c r="L975" t="s">
        <v>2677</v>
      </c>
      <c r="M975" s="3" t="str">
        <f>HYPERLINK("..\..\Imagery\ScannedPhotos\1987\CG87-488.4.jpg")</f>
        <v>..\..\Imagery\ScannedPhotos\1987\CG87-488.4.jpg</v>
      </c>
    </row>
    <row r="976" spans="1:13" x14ac:dyDescent="0.25">
      <c r="A976" t="s">
        <v>2678</v>
      </c>
      <c r="B976">
        <v>541105</v>
      </c>
      <c r="C976">
        <v>5941824</v>
      </c>
      <c r="D976">
        <v>21</v>
      </c>
      <c r="E976" t="s">
        <v>15</v>
      </c>
      <c r="F976" t="s">
        <v>2679</v>
      </c>
      <c r="G976">
        <v>5</v>
      </c>
      <c r="H976" t="s">
        <v>817</v>
      </c>
      <c r="I976" t="s">
        <v>119</v>
      </c>
      <c r="J976" t="s">
        <v>48</v>
      </c>
      <c r="K976" t="s">
        <v>20</v>
      </c>
      <c r="L976" t="s">
        <v>2680</v>
      </c>
      <c r="M976" s="3" t="str">
        <f>HYPERLINK("..\..\Imagery\ScannedPhotos\1981\VO81-579.1.jpg")</f>
        <v>..\..\Imagery\ScannedPhotos\1981\VO81-579.1.jpg</v>
      </c>
    </row>
    <row r="977" spans="1:13" x14ac:dyDescent="0.25">
      <c r="A977" t="s">
        <v>2678</v>
      </c>
      <c r="B977">
        <v>541105</v>
      </c>
      <c r="C977">
        <v>5941824</v>
      </c>
      <c r="D977">
        <v>21</v>
      </c>
      <c r="E977" t="s">
        <v>15</v>
      </c>
      <c r="F977" t="s">
        <v>2681</v>
      </c>
      <c r="G977">
        <v>5</v>
      </c>
      <c r="H977" t="s">
        <v>817</v>
      </c>
      <c r="I977" t="s">
        <v>122</v>
      </c>
      <c r="J977" t="s">
        <v>48</v>
      </c>
      <c r="K977" t="s">
        <v>20</v>
      </c>
      <c r="L977" t="s">
        <v>2682</v>
      </c>
      <c r="M977" s="3" t="str">
        <f>HYPERLINK("..\..\Imagery\ScannedPhotos\1981\VO81-579.2.jpg")</f>
        <v>..\..\Imagery\ScannedPhotos\1981\VO81-579.2.jpg</v>
      </c>
    </row>
    <row r="978" spans="1:13" x14ac:dyDescent="0.25">
      <c r="A978" t="s">
        <v>2678</v>
      </c>
      <c r="B978">
        <v>541105</v>
      </c>
      <c r="C978">
        <v>5941824</v>
      </c>
      <c r="D978">
        <v>21</v>
      </c>
      <c r="E978" t="s">
        <v>15</v>
      </c>
      <c r="F978" t="s">
        <v>2683</v>
      </c>
      <c r="G978">
        <v>5</v>
      </c>
      <c r="H978" t="s">
        <v>817</v>
      </c>
      <c r="I978" t="s">
        <v>126</v>
      </c>
      <c r="J978" t="s">
        <v>48</v>
      </c>
      <c r="K978" t="s">
        <v>20</v>
      </c>
      <c r="L978" t="s">
        <v>2684</v>
      </c>
      <c r="M978" s="3" t="str">
        <f>HYPERLINK("..\..\Imagery\ScannedPhotos\1981\VO81-579.3.jpg")</f>
        <v>..\..\Imagery\ScannedPhotos\1981\VO81-579.3.jpg</v>
      </c>
    </row>
    <row r="979" spans="1:13" x14ac:dyDescent="0.25">
      <c r="A979" t="s">
        <v>2685</v>
      </c>
      <c r="B979">
        <v>568338</v>
      </c>
      <c r="C979">
        <v>5920554</v>
      </c>
      <c r="D979">
        <v>21</v>
      </c>
      <c r="E979" t="s">
        <v>15</v>
      </c>
      <c r="F979" t="s">
        <v>2686</v>
      </c>
      <c r="G979">
        <v>2</v>
      </c>
      <c r="H979" t="s">
        <v>2687</v>
      </c>
      <c r="I979" t="s">
        <v>418</v>
      </c>
      <c r="J979" t="s">
        <v>1463</v>
      </c>
      <c r="K979" t="s">
        <v>20</v>
      </c>
      <c r="L979" t="s">
        <v>2688</v>
      </c>
      <c r="M979" s="3" t="str">
        <f>HYPERLINK("..\..\Imagery\ScannedPhotos\1985\VN85-615.2.jpg")</f>
        <v>..\..\Imagery\ScannedPhotos\1985\VN85-615.2.jpg</v>
      </c>
    </row>
    <row r="980" spans="1:13" x14ac:dyDescent="0.25">
      <c r="A980" t="s">
        <v>2685</v>
      </c>
      <c r="B980">
        <v>568338</v>
      </c>
      <c r="C980">
        <v>5920554</v>
      </c>
      <c r="D980">
        <v>21</v>
      </c>
      <c r="E980" t="s">
        <v>15</v>
      </c>
      <c r="F980" t="s">
        <v>2689</v>
      </c>
      <c r="G980">
        <v>2</v>
      </c>
      <c r="H980" t="s">
        <v>2687</v>
      </c>
      <c r="I980" t="s">
        <v>222</v>
      </c>
      <c r="J980" t="s">
        <v>1463</v>
      </c>
      <c r="K980" t="s">
        <v>20</v>
      </c>
      <c r="L980" t="s">
        <v>2688</v>
      </c>
      <c r="M980" s="3" t="str">
        <f>HYPERLINK("..\..\Imagery\ScannedPhotos\1985\VN85-615.1.jpg")</f>
        <v>..\..\Imagery\ScannedPhotos\1985\VN85-615.1.jpg</v>
      </c>
    </row>
    <row r="981" spans="1:13" x14ac:dyDescent="0.25">
      <c r="A981" t="s">
        <v>2690</v>
      </c>
      <c r="B981">
        <v>566176</v>
      </c>
      <c r="C981">
        <v>5935945</v>
      </c>
      <c r="D981">
        <v>21</v>
      </c>
      <c r="E981" t="s">
        <v>15</v>
      </c>
      <c r="F981" t="s">
        <v>2691</v>
      </c>
      <c r="G981">
        <v>2</v>
      </c>
      <c r="H981" t="s">
        <v>2687</v>
      </c>
      <c r="I981" t="s">
        <v>304</v>
      </c>
      <c r="J981" t="s">
        <v>1463</v>
      </c>
      <c r="K981" t="s">
        <v>20</v>
      </c>
      <c r="L981" t="s">
        <v>2692</v>
      </c>
      <c r="M981" s="3" t="str">
        <f>HYPERLINK("..\..\Imagery\ScannedPhotos\1985\VN85-628.1.jpg")</f>
        <v>..\..\Imagery\ScannedPhotos\1985\VN85-628.1.jpg</v>
      </c>
    </row>
    <row r="982" spans="1:13" x14ac:dyDescent="0.25">
      <c r="A982" t="s">
        <v>2690</v>
      </c>
      <c r="B982">
        <v>566176</v>
      </c>
      <c r="C982">
        <v>5935945</v>
      </c>
      <c r="D982">
        <v>21</v>
      </c>
      <c r="E982" t="s">
        <v>15</v>
      </c>
      <c r="F982" t="s">
        <v>2693</v>
      </c>
      <c r="G982">
        <v>2</v>
      </c>
      <c r="H982" t="s">
        <v>2687</v>
      </c>
      <c r="I982" t="s">
        <v>195</v>
      </c>
      <c r="J982" t="s">
        <v>1463</v>
      </c>
      <c r="K982" t="s">
        <v>20</v>
      </c>
      <c r="L982" t="s">
        <v>2692</v>
      </c>
      <c r="M982" s="3" t="str">
        <f>HYPERLINK("..\..\Imagery\ScannedPhotos\1985\VN85-628.2.jpg")</f>
        <v>..\..\Imagery\ScannedPhotos\1985\VN85-628.2.jpg</v>
      </c>
    </row>
    <row r="983" spans="1:13" x14ac:dyDescent="0.25">
      <c r="A983" t="s">
        <v>2694</v>
      </c>
      <c r="B983">
        <v>587716</v>
      </c>
      <c r="C983">
        <v>5784959</v>
      </c>
      <c r="D983">
        <v>21</v>
      </c>
      <c r="E983" t="s">
        <v>15</v>
      </c>
      <c r="F983" t="s">
        <v>2695</v>
      </c>
      <c r="G983">
        <v>1</v>
      </c>
      <c r="H983" t="s">
        <v>1051</v>
      </c>
      <c r="I983" t="s">
        <v>79</v>
      </c>
      <c r="J983" t="s">
        <v>1052</v>
      </c>
      <c r="K983" t="s">
        <v>20</v>
      </c>
      <c r="L983" t="s">
        <v>2696</v>
      </c>
      <c r="M983" s="3" t="str">
        <f>HYPERLINK("..\..\Imagery\ScannedPhotos\1987\VN87-435.jpg")</f>
        <v>..\..\Imagery\ScannedPhotos\1987\VN87-435.jpg</v>
      </c>
    </row>
    <row r="984" spans="1:13" x14ac:dyDescent="0.25">
      <c r="A984" t="s">
        <v>2697</v>
      </c>
      <c r="B984">
        <v>497631</v>
      </c>
      <c r="C984">
        <v>5848820</v>
      </c>
      <c r="D984">
        <v>21</v>
      </c>
      <c r="E984" t="s">
        <v>15</v>
      </c>
      <c r="F984" t="s">
        <v>2698</v>
      </c>
      <c r="G984">
        <v>2</v>
      </c>
      <c r="H984" t="s">
        <v>1128</v>
      </c>
      <c r="I984" t="s">
        <v>35</v>
      </c>
      <c r="J984" t="s">
        <v>1129</v>
      </c>
      <c r="K984" t="s">
        <v>56</v>
      </c>
      <c r="L984" t="s">
        <v>2699</v>
      </c>
      <c r="M984" s="3" t="str">
        <f>HYPERLINK("..\..\Imagery\ScannedPhotos\1991\VN91-095.1.jpg")</f>
        <v>..\..\Imagery\ScannedPhotos\1991\VN91-095.1.jpg</v>
      </c>
    </row>
    <row r="985" spans="1:13" x14ac:dyDescent="0.25">
      <c r="A985" t="s">
        <v>2700</v>
      </c>
      <c r="B985">
        <v>471601</v>
      </c>
      <c r="C985">
        <v>5936860</v>
      </c>
      <c r="D985">
        <v>21</v>
      </c>
      <c r="E985" t="s">
        <v>15</v>
      </c>
      <c r="F985" t="s">
        <v>2701</v>
      </c>
      <c r="G985">
        <v>3</v>
      </c>
      <c r="H985" t="s">
        <v>107</v>
      </c>
      <c r="I985" t="s">
        <v>375</v>
      </c>
      <c r="J985" t="s">
        <v>48</v>
      </c>
      <c r="K985" t="s">
        <v>20</v>
      </c>
      <c r="L985" t="s">
        <v>1020</v>
      </c>
      <c r="M985" s="3" t="str">
        <f>HYPERLINK("..\..\Imagery\ScannedPhotos\1981\CG81-162.1.jpg")</f>
        <v>..\..\Imagery\ScannedPhotos\1981\CG81-162.1.jpg</v>
      </c>
    </row>
    <row r="986" spans="1:13" x14ac:dyDescent="0.25">
      <c r="A986" t="s">
        <v>2700</v>
      </c>
      <c r="B986">
        <v>471601</v>
      </c>
      <c r="C986">
        <v>5936860</v>
      </c>
      <c r="D986">
        <v>21</v>
      </c>
      <c r="E986" t="s">
        <v>15</v>
      </c>
      <c r="F986" t="s">
        <v>2702</v>
      </c>
      <c r="G986">
        <v>3</v>
      </c>
      <c r="H986" t="s">
        <v>1480</v>
      </c>
      <c r="I986" t="s">
        <v>360</v>
      </c>
      <c r="J986" t="s">
        <v>48</v>
      </c>
      <c r="K986" t="s">
        <v>20</v>
      </c>
      <c r="L986" t="s">
        <v>2703</v>
      </c>
      <c r="M986" s="3" t="str">
        <f>HYPERLINK("..\..\Imagery\ScannedPhotos\1981\CG81-162.3.jpg")</f>
        <v>..\..\Imagery\ScannedPhotos\1981\CG81-162.3.jpg</v>
      </c>
    </row>
    <row r="987" spans="1:13" x14ac:dyDescent="0.25">
      <c r="A987" t="s">
        <v>2704</v>
      </c>
      <c r="B987">
        <v>471184</v>
      </c>
      <c r="C987">
        <v>5935983</v>
      </c>
      <c r="D987">
        <v>21</v>
      </c>
      <c r="E987" t="s">
        <v>15</v>
      </c>
      <c r="F987" t="s">
        <v>2705</v>
      </c>
      <c r="G987">
        <v>1</v>
      </c>
      <c r="H987" t="s">
        <v>107</v>
      </c>
      <c r="I987" t="s">
        <v>94</v>
      </c>
      <c r="J987" t="s">
        <v>48</v>
      </c>
      <c r="K987" t="s">
        <v>20</v>
      </c>
      <c r="L987" t="s">
        <v>2706</v>
      </c>
      <c r="M987" s="3" t="str">
        <f>HYPERLINK("..\..\Imagery\ScannedPhotos\1981\CG81-165.jpg")</f>
        <v>..\..\Imagery\ScannedPhotos\1981\CG81-165.jpg</v>
      </c>
    </row>
    <row r="988" spans="1:13" x14ac:dyDescent="0.25">
      <c r="A988" t="s">
        <v>2707</v>
      </c>
      <c r="B988">
        <v>469947</v>
      </c>
      <c r="C988">
        <v>5935437</v>
      </c>
      <c r="D988">
        <v>21</v>
      </c>
      <c r="E988" t="s">
        <v>15</v>
      </c>
      <c r="F988" t="s">
        <v>2708</v>
      </c>
      <c r="G988">
        <v>3</v>
      </c>
      <c r="H988" t="s">
        <v>107</v>
      </c>
      <c r="I988" t="s">
        <v>386</v>
      </c>
      <c r="J988" t="s">
        <v>48</v>
      </c>
      <c r="K988" t="s">
        <v>228</v>
      </c>
      <c r="L988" t="s">
        <v>2709</v>
      </c>
      <c r="M988" s="3" t="str">
        <f>HYPERLINK("..\..\Imagery\ScannedPhotos\1981\CG81-168.1.jpg")</f>
        <v>..\..\Imagery\ScannedPhotos\1981\CG81-168.1.jpg</v>
      </c>
    </row>
    <row r="989" spans="1:13" x14ac:dyDescent="0.25">
      <c r="A989" t="s">
        <v>2707</v>
      </c>
      <c r="B989">
        <v>469947</v>
      </c>
      <c r="C989">
        <v>5935437</v>
      </c>
      <c r="D989">
        <v>21</v>
      </c>
      <c r="E989" t="s">
        <v>15</v>
      </c>
      <c r="F989" t="s">
        <v>2710</v>
      </c>
      <c r="G989">
        <v>3</v>
      </c>
      <c r="H989" t="s">
        <v>107</v>
      </c>
      <c r="I989" t="s">
        <v>217</v>
      </c>
      <c r="J989" t="s">
        <v>48</v>
      </c>
      <c r="K989" t="s">
        <v>228</v>
      </c>
      <c r="L989" t="s">
        <v>2711</v>
      </c>
      <c r="M989" s="3" t="str">
        <f>HYPERLINK("..\..\Imagery\ScannedPhotos\1981\CG81-168.2.jpg")</f>
        <v>..\..\Imagery\ScannedPhotos\1981\CG81-168.2.jpg</v>
      </c>
    </row>
    <row r="990" spans="1:13" x14ac:dyDescent="0.25">
      <c r="A990" t="s">
        <v>2707</v>
      </c>
      <c r="B990">
        <v>469947</v>
      </c>
      <c r="C990">
        <v>5935437</v>
      </c>
      <c r="D990">
        <v>21</v>
      </c>
      <c r="E990" t="s">
        <v>15</v>
      </c>
      <c r="F990" t="s">
        <v>2712</v>
      </c>
      <c r="G990">
        <v>3</v>
      </c>
      <c r="H990" t="s">
        <v>107</v>
      </c>
      <c r="I990" t="s">
        <v>214</v>
      </c>
      <c r="J990" t="s">
        <v>48</v>
      </c>
      <c r="K990" t="s">
        <v>20</v>
      </c>
      <c r="L990" t="s">
        <v>2713</v>
      </c>
      <c r="M990" s="3" t="str">
        <f>HYPERLINK("..\..\Imagery\ScannedPhotos\1981\CG81-168.3.jpg")</f>
        <v>..\..\Imagery\ScannedPhotos\1981\CG81-168.3.jpg</v>
      </c>
    </row>
    <row r="991" spans="1:13" x14ac:dyDescent="0.25">
      <c r="A991" t="s">
        <v>2714</v>
      </c>
      <c r="B991">
        <v>471518</v>
      </c>
      <c r="C991">
        <v>5938237</v>
      </c>
      <c r="D991">
        <v>21</v>
      </c>
      <c r="E991" t="s">
        <v>15</v>
      </c>
      <c r="F991" t="s">
        <v>2715</v>
      </c>
      <c r="G991">
        <v>12</v>
      </c>
      <c r="H991" t="s">
        <v>107</v>
      </c>
      <c r="I991" t="s">
        <v>30</v>
      </c>
      <c r="J991" t="s">
        <v>48</v>
      </c>
      <c r="K991" t="s">
        <v>535</v>
      </c>
      <c r="L991" t="s">
        <v>2716</v>
      </c>
      <c r="M991" s="3" t="str">
        <f>HYPERLINK("..\..\Imagery\ScannedPhotos\1981\CG81-175.12.jpg")</f>
        <v>..\..\Imagery\ScannedPhotos\1981\CG81-175.12.jpg</v>
      </c>
    </row>
    <row r="992" spans="1:13" x14ac:dyDescent="0.25">
      <c r="A992" t="s">
        <v>2717</v>
      </c>
      <c r="B992">
        <v>494734</v>
      </c>
      <c r="C992">
        <v>5823819</v>
      </c>
      <c r="D992">
        <v>21</v>
      </c>
      <c r="E992" t="s">
        <v>15</v>
      </c>
      <c r="F992" t="s">
        <v>2718</v>
      </c>
      <c r="G992">
        <v>1</v>
      </c>
      <c r="H992" t="s">
        <v>2719</v>
      </c>
      <c r="I992" t="s">
        <v>401</v>
      </c>
      <c r="J992" t="s">
        <v>891</v>
      </c>
      <c r="K992" t="s">
        <v>20</v>
      </c>
      <c r="L992" t="s">
        <v>2720</v>
      </c>
      <c r="M992" s="3" t="str">
        <f>HYPERLINK("..\..\Imagery\ScannedPhotos\1991\VN91-289.jpg")</f>
        <v>..\..\Imagery\ScannedPhotos\1991\VN91-289.jpg</v>
      </c>
    </row>
    <row r="993" spans="1:13" x14ac:dyDescent="0.25">
      <c r="A993" t="s">
        <v>2721</v>
      </c>
      <c r="B993">
        <v>494465</v>
      </c>
      <c r="C993">
        <v>5825015</v>
      </c>
      <c r="D993">
        <v>21</v>
      </c>
      <c r="E993" t="s">
        <v>15</v>
      </c>
      <c r="F993" t="s">
        <v>2722</v>
      </c>
      <c r="G993">
        <v>4</v>
      </c>
      <c r="H993" t="s">
        <v>792</v>
      </c>
      <c r="I993" t="s">
        <v>137</v>
      </c>
      <c r="J993" t="s">
        <v>793</v>
      </c>
      <c r="K993" t="s">
        <v>56</v>
      </c>
      <c r="L993" t="s">
        <v>2723</v>
      </c>
      <c r="M993" s="3" t="str">
        <f>HYPERLINK("..\..\Imagery\ScannedPhotos\1991\VN91-292.3.jpg")</f>
        <v>..\..\Imagery\ScannedPhotos\1991\VN91-292.3.jpg</v>
      </c>
    </row>
    <row r="994" spans="1:13" x14ac:dyDescent="0.25">
      <c r="A994" t="s">
        <v>14</v>
      </c>
      <c r="B994">
        <v>551495</v>
      </c>
      <c r="C994">
        <v>5821595</v>
      </c>
      <c r="D994">
        <v>21</v>
      </c>
      <c r="E994" t="s">
        <v>15</v>
      </c>
      <c r="F994" t="s">
        <v>2724</v>
      </c>
      <c r="G994">
        <v>16</v>
      </c>
      <c r="H994" t="s">
        <v>1066</v>
      </c>
      <c r="I994" t="s">
        <v>147</v>
      </c>
      <c r="J994" t="s">
        <v>36</v>
      </c>
      <c r="K994" t="s">
        <v>20</v>
      </c>
      <c r="L994" t="s">
        <v>2725</v>
      </c>
      <c r="M994" s="3" t="str">
        <f>HYPERLINK("..\..\Imagery\ScannedPhotos\1986\CG86-018.5.jpg")</f>
        <v>..\..\Imagery\ScannedPhotos\1986\CG86-018.5.jpg</v>
      </c>
    </row>
    <row r="995" spans="1:13" x14ac:dyDescent="0.25">
      <c r="A995" t="s">
        <v>14</v>
      </c>
      <c r="B995">
        <v>551495</v>
      </c>
      <c r="C995">
        <v>5821595</v>
      </c>
      <c r="D995">
        <v>21</v>
      </c>
      <c r="E995" t="s">
        <v>15</v>
      </c>
      <c r="F995" t="s">
        <v>2726</v>
      </c>
      <c r="G995">
        <v>16</v>
      </c>
      <c r="H995" t="s">
        <v>1066</v>
      </c>
      <c r="I995" t="s">
        <v>143</v>
      </c>
      <c r="J995" t="s">
        <v>36</v>
      </c>
      <c r="K995" t="s">
        <v>20</v>
      </c>
      <c r="L995" t="s">
        <v>2727</v>
      </c>
      <c r="M995" s="3" t="str">
        <f>HYPERLINK("..\..\Imagery\ScannedPhotos\1986\CG86-018.4.jpg")</f>
        <v>..\..\Imagery\ScannedPhotos\1986\CG86-018.4.jpg</v>
      </c>
    </row>
    <row r="996" spans="1:13" x14ac:dyDescent="0.25">
      <c r="A996" t="s">
        <v>2437</v>
      </c>
      <c r="B996">
        <v>490968</v>
      </c>
      <c r="C996">
        <v>6039407</v>
      </c>
      <c r="D996">
        <v>21</v>
      </c>
      <c r="E996" t="s">
        <v>15</v>
      </c>
      <c r="F996" t="s">
        <v>2728</v>
      </c>
      <c r="G996">
        <v>6</v>
      </c>
      <c r="H996" t="s">
        <v>2439</v>
      </c>
      <c r="I996" t="s">
        <v>94</v>
      </c>
      <c r="J996" t="s">
        <v>2440</v>
      </c>
      <c r="K996" t="s">
        <v>20</v>
      </c>
      <c r="L996" t="s">
        <v>2441</v>
      </c>
      <c r="M996" s="3" t="str">
        <f>HYPERLINK("..\..\Imagery\ScannedPhotos\1992\CG92-066.3.jpg")</f>
        <v>..\..\Imagery\ScannedPhotos\1992\CG92-066.3.jpg</v>
      </c>
    </row>
    <row r="997" spans="1:13" x14ac:dyDescent="0.25">
      <c r="A997" t="s">
        <v>1992</v>
      </c>
      <c r="B997">
        <v>586137</v>
      </c>
      <c r="C997">
        <v>5898017</v>
      </c>
      <c r="D997">
        <v>21</v>
      </c>
      <c r="E997" t="s">
        <v>15</v>
      </c>
      <c r="F997" t="s">
        <v>2729</v>
      </c>
      <c r="G997">
        <v>6</v>
      </c>
      <c r="H997" t="s">
        <v>1994</v>
      </c>
      <c r="I997" t="s">
        <v>85</v>
      </c>
      <c r="J997" t="s">
        <v>138</v>
      </c>
      <c r="K997" t="s">
        <v>20</v>
      </c>
      <c r="L997" t="s">
        <v>2730</v>
      </c>
      <c r="M997" s="3" t="str">
        <f>HYPERLINK("..\..\Imagery\ScannedPhotos\1985\GM85-583.6.jpg")</f>
        <v>..\..\Imagery\ScannedPhotos\1985\GM85-583.6.jpg</v>
      </c>
    </row>
    <row r="998" spans="1:13" x14ac:dyDescent="0.25">
      <c r="A998" t="s">
        <v>2731</v>
      </c>
      <c r="B998">
        <v>579966</v>
      </c>
      <c r="C998">
        <v>5850649</v>
      </c>
      <c r="D998">
        <v>21</v>
      </c>
      <c r="E998" t="s">
        <v>15</v>
      </c>
      <c r="F998" t="s">
        <v>2732</v>
      </c>
      <c r="G998">
        <v>18</v>
      </c>
      <c r="H998" t="s">
        <v>2733</v>
      </c>
      <c r="I998" t="s">
        <v>217</v>
      </c>
      <c r="J998" t="s">
        <v>814</v>
      </c>
      <c r="K998" t="s">
        <v>20</v>
      </c>
      <c r="L998" t="s">
        <v>2734</v>
      </c>
      <c r="M998" s="3" t="str">
        <f>HYPERLINK("..\..\Imagery\ScannedPhotos\1986\CG86-528.17.jpg")</f>
        <v>..\..\Imagery\ScannedPhotos\1986\CG86-528.17.jpg</v>
      </c>
    </row>
    <row r="999" spans="1:13" x14ac:dyDescent="0.25">
      <c r="A999" t="s">
        <v>2731</v>
      </c>
      <c r="B999">
        <v>579966</v>
      </c>
      <c r="C999">
        <v>5850649</v>
      </c>
      <c r="D999">
        <v>21</v>
      </c>
      <c r="E999" t="s">
        <v>15</v>
      </c>
      <c r="F999" t="s">
        <v>2735</v>
      </c>
      <c r="G999">
        <v>18</v>
      </c>
      <c r="H999" t="s">
        <v>2733</v>
      </c>
      <c r="I999" t="s">
        <v>386</v>
      </c>
      <c r="J999" t="s">
        <v>814</v>
      </c>
      <c r="K999" t="s">
        <v>20</v>
      </c>
      <c r="L999" t="s">
        <v>2736</v>
      </c>
      <c r="M999" s="3" t="str">
        <f>HYPERLINK("..\..\Imagery\ScannedPhotos\1986\CG86-528.16.jpg")</f>
        <v>..\..\Imagery\ScannedPhotos\1986\CG86-528.16.jpg</v>
      </c>
    </row>
    <row r="1000" spans="1:13" x14ac:dyDescent="0.25">
      <c r="A1000" t="s">
        <v>2731</v>
      </c>
      <c r="B1000">
        <v>579966</v>
      </c>
      <c r="C1000">
        <v>5850649</v>
      </c>
      <c r="D1000">
        <v>21</v>
      </c>
      <c r="E1000" t="s">
        <v>15</v>
      </c>
      <c r="F1000" t="s">
        <v>2737</v>
      </c>
      <c r="G1000">
        <v>18</v>
      </c>
      <c r="H1000" t="s">
        <v>2733</v>
      </c>
      <c r="I1000" t="s">
        <v>209</v>
      </c>
      <c r="J1000" t="s">
        <v>814</v>
      </c>
      <c r="K1000" t="s">
        <v>20</v>
      </c>
      <c r="L1000" t="s">
        <v>2738</v>
      </c>
      <c r="M1000" s="3" t="str">
        <f>HYPERLINK("..\..\Imagery\ScannedPhotos\1986\CG86-528.15.jpg")</f>
        <v>..\..\Imagery\ScannedPhotos\1986\CG86-528.15.jpg</v>
      </c>
    </row>
    <row r="1001" spans="1:13" x14ac:dyDescent="0.25">
      <c r="A1001" t="s">
        <v>2739</v>
      </c>
      <c r="B1001">
        <v>569916</v>
      </c>
      <c r="C1001">
        <v>5846992</v>
      </c>
      <c r="D1001">
        <v>21</v>
      </c>
      <c r="E1001" t="s">
        <v>15</v>
      </c>
      <c r="F1001" t="s">
        <v>2740</v>
      </c>
      <c r="G1001">
        <v>1</v>
      </c>
      <c r="H1001" t="s">
        <v>288</v>
      </c>
      <c r="I1001" t="s">
        <v>294</v>
      </c>
      <c r="J1001" t="s">
        <v>289</v>
      </c>
      <c r="K1001" t="s">
        <v>20</v>
      </c>
      <c r="L1001" t="s">
        <v>2741</v>
      </c>
      <c r="M1001" s="3" t="str">
        <f>HYPERLINK("..\..\Imagery\ScannedPhotos\1986\CG86-582.jpg")</f>
        <v>..\..\Imagery\ScannedPhotos\1986\CG86-582.jpg</v>
      </c>
    </row>
    <row r="1002" spans="1:13" x14ac:dyDescent="0.25">
      <c r="A1002" t="s">
        <v>2742</v>
      </c>
      <c r="B1002">
        <v>322951</v>
      </c>
      <c r="C1002">
        <v>6002458</v>
      </c>
      <c r="D1002">
        <v>21</v>
      </c>
      <c r="E1002" t="s">
        <v>15</v>
      </c>
      <c r="F1002" t="s">
        <v>2743</v>
      </c>
      <c r="G1002">
        <v>2</v>
      </c>
      <c r="H1002" t="s">
        <v>2431</v>
      </c>
      <c r="I1002" t="s">
        <v>122</v>
      </c>
      <c r="J1002" t="s">
        <v>269</v>
      </c>
      <c r="K1002" t="s">
        <v>228</v>
      </c>
      <c r="L1002" t="s">
        <v>2744</v>
      </c>
      <c r="M1002" s="3" t="str">
        <f>HYPERLINK("..\..\Imagery\ScannedPhotos\1983\CG83-318.1.jpg")</f>
        <v>..\..\Imagery\ScannedPhotos\1983\CG83-318.1.jpg</v>
      </c>
    </row>
    <row r="1003" spans="1:13" x14ac:dyDescent="0.25">
      <c r="A1003" t="s">
        <v>2742</v>
      </c>
      <c r="B1003">
        <v>322951</v>
      </c>
      <c r="C1003">
        <v>6002458</v>
      </c>
      <c r="D1003">
        <v>21</v>
      </c>
      <c r="E1003" t="s">
        <v>15</v>
      </c>
      <c r="F1003" t="s">
        <v>2745</v>
      </c>
      <c r="G1003">
        <v>2</v>
      </c>
      <c r="H1003" t="s">
        <v>2431</v>
      </c>
      <c r="I1003" t="s">
        <v>132</v>
      </c>
      <c r="J1003" t="s">
        <v>269</v>
      </c>
      <c r="K1003" t="s">
        <v>228</v>
      </c>
      <c r="L1003" t="s">
        <v>2746</v>
      </c>
      <c r="M1003" s="3" t="str">
        <f>HYPERLINK("..\..\Imagery\ScannedPhotos\1983\CG83-318.2.jpg")</f>
        <v>..\..\Imagery\ScannedPhotos\1983\CG83-318.2.jpg</v>
      </c>
    </row>
    <row r="1004" spans="1:13" x14ac:dyDescent="0.25">
      <c r="A1004" t="s">
        <v>2747</v>
      </c>
      <c r="B1004">
        <v>330858</v>
      </c>
      <c r="C1004">
        <v>6008108</v>
      </c>
      <c r="D1004">
        <v>21</v>
      </c>
      <c r="E1004" t="s">
        <v>15</v>
      </c>
      <c r="F1004" t="s">
        <v>2748</v>
      </c>
      <c r="G1004">
        <v>2</v>
      </c>
      <c r="H1004" t="s">
        <v>2431</v>
      </c>
      <c r="I1004" t="s">
        <v>143</v>
      </c>
      <c r="J1004" t="s">
        <v>269</v>
      </c>
      <c r="K1004" t="s">
        <v>20</v>
      </c>
      <c r="L1004" t="s">
        <v>2749</v>
      </c>
      <c r="M1004" s="3" t="str">
        <f>HYPERLINK("..\..\Imagery\ScannedPhotos\1983\CG83-321.2.jpg")</f>
        <v>..\..\Imagery\ScannedPhotos\1983\CG83-321.2.jpg</v>
      </c>
    </row>
    <row r="1005" spans="1:13" x14ac:dyDescent="0.25">
      <c r="A1005" t="s">
        <v>2747</v>
      </c>
      <c r="B1005">
        <v>330858</v>
      </c>
      <c r="C1005">
        <v>6008108</v>
      </c>
      <c r="D1005">
        <v>21</v>
      </c>
      <c r="E1005" t="s">
        <v>15</v>
      </c>
      <c r="F1005" t="s">
        <v>2750</v>
      </c>
      <c r="G1005">
        <v>2</v>
      </c>
      <c r="H1005" t="s">
        <v>2431</v>
      </c>
      <c r="I1005" t="s">
        <v>129</v>
      </c>
      <c r="J1005" t="s">
        <v>269</v>
      </c>
      <c r="K1005" t="s">
        <v>20</v>
      </c>
      <c r="L1005" t="s">
        <v>2749</v>
      </c>
      <c r="M1005" s="3" t="str">
        <f>HYPERLINK("..\..\Imagery\ScannedPhotos\1983\CG83-321.1.jpg")</f>
        <v>..\..\Imagery\ScannedPhotos\1983\CG83-321.1.jpg</v>
      </c>
    </row>
    <row r="1006" spans="1:13" x14ac:dyDescent="0.25">
      <c r="A1006" t="s">
        <v>2751</v>
      </c>
      <c r="B1006">
        <v>329164</v>
      </c>
      <c r="C1006">
        <v>6010909</v>
      </c>
      <c r="D1006">
        <v>21</v>
      </c>
      <c r="E1006" t="s">
        <v>15</v>
      </c>
      <c r="F1006" t="s">
        <v>2752</v>
      </c>
      <c r="G1006">
        <v>5</v>
      </c>
      <c r="H1006" t="s">
        <v>2431</v>
      </c>
      <c r="I1006" t="s">
        <v>52</v>
      </c>
      <c r="J1006" t="s">
        <v>269</v>
      </c>
      <c r="K1006" t="s">
        <v>56</v>
      </c>
      <c r="L1006" t="s">
        <v>2753</v>
      </c>
      <c r="M1006" s="3" t="str">
        <f>HYPERLINK("..\..\Imagery\ScannedPhotos\1983\CG83-328.3.jpg")</f>
        <v>..\..\Imagery\ScannedPhotos\1983\CG83-328.3.jpg</v>
      </c>
    </row>
    <row r="1007" spans="1:13" x14ac:dyDescent="0.25">
      <c r="A1007" t="s">
        <v>2751</v>
      </c>
      <c r="B1007">
        <v>329164</v>
      </c>
      <c r="C1007">
        <v>6010909</v>
      </c>
      <c r="D1007">
        <v>21</v>
      </c>
      <c r="E1007" t="s">
        <v>15</v>
      </c>
      <c r="F1007" t="s">
        <v>2754</v>
      </c>
      <c r="G1007">
        <v>5</v>
      </c>
      <c r="H1007" t="s">
        <v>2431</v>
      </c>
      <c r="I1007" t="s">
        <v>147</v>
      </c>
      <c r="J1007" t="s">
        <v>269</v>
      </c>
      <c r="K1007" t="s">
        <v>56</v>
      </c>
      <c r="L1007" t="s">
        <v>2755</v>
      </c>
      <c r="M1007" s="3" t="str">
        <f>HYPERLINK("..\..\Imagery\ScannedPhotos\1983\CG83-328.1.jpg")</f>
        <v>..\..\Imagery\ScannedPhotos\1983\CG83-328.1.jpg</v>
      </c>
    </row>
    <row r="1008" spans="1:13" x14ac:dyDescent="0.25">
      <c r="A1008" t="s">
        <v>2751</v>
      </c>
      <c r="B1008">
        <v>329164</v>
      </c>
      <c r="C1008">
        <v>6010909</v>
      </c>
      <c r="D1008">
        <v>21</v>
      </c>
      <c r="E1008" t="s">
        <v>15</v>
      </c>
      <c r="F1008" t="s">
        <v>2756</v>
      </c>
      <c r="G1008">
        <v>5</v>
      </c>
      <c r="H1008" t="s">
        <v>2431</v>
      </c>
      <c r="I1008" t="s">
        <v>47</v>
      </c>
      <c r="J1008" t="s">
        <v>269</v>
      </c>
      <c r="K1008" t="s">
        <v>56</v>
      </c>
      <c r="L1008" t="s">
        <v>2755</v>
      </c>
      <c r="M1008" s="3" t="str">
        <f>HYPERLINK("..\..\Imagery\ScannedPhotos\1983\CG83-328.2.jpg")</f>
        <v>..\..\Imagery\ScannedPhotos\1983\CG83-328.2.jpg</v>
      </c>
    </row>
    <row r="1009" spans="1:13" x14ac:dyDescent="0.25">
      <c r="A1009" t="s">
        <v>2757</v>
      </c>
      <c r="B1009">
        <v>494375</v>
      </c>
      <c r="C1009">
        <v>5820375</v>
      </c>
      <c r="D1009">
        <v>21</v>
      </c>
      <c r="E1009" t="s">
        <v>15</v>
      </c>
      <c r="F1009" t="s">
        <v>2758</v>
      </c>
      <c r="G1009">
        <v>3</v>
      </c>
      <c r="H1009" t="s">
        <v>792</v>
      </c>
      <c r="I1009" t="s">
        <v>209</v>
      </c>
      <c r="J1009" t="s">
        <v>793</v>
      </c>
      <c r="K1009" t="s">
        <v>20</v>
      </c>
      <c r="L1009" t="s">
        <v>2759</v>
      </c>
      <c r="M1009" s="3" t="str">
        <f>HYPERLINK("..\..\Imagery\ScannedPhotos\1991\VN91-301.1.jpg")</f>
        <v>..\..\Imagery\ScannedPhotos\1991\VN91-301.1.jpg</v>
      </c>
    </row>
    <row r="1010" spans="1:13" x14ac:dyDescent="0.25">
      <c r="A1010" t="s">
        <v>2757</v>
      </c>
      <c r="B1010">
        <v>494375</v>
      </c>
      <c r="C1010">
        <v>5820375</v>
      </c>
      <c r="D1010">
        <v>21</v>
      </c>
      <c r="E1010" t="s">
        <v>15</v>
      </c>
      <c r="F1010" t="s">
        <v>2760</v>
      </c>
      <c r="G1010">
        <v>3</v>
      </c>
      <c r="H1010" t="s">
        <v>792</v>
      </c>
      <c r="I1010" t="s">
        <v>217</v>
      </c>
      <c r="J1010" t="s">
        <v>793</v>
      </c>
      <c r="K1010" t="s">
        <v>56</v>
      </c>
      <c r="L1010" t="s">
        <v>2761</v>
      </c>
      <c r="M1010" s="3" t="str">
        <f>HYPERLINK("..\..\Imagery\ScannedPhotos\1991\VN91-301.3.jpg")</f>
        <v>..\..\Imagery\ScannedPhotos\1991\VN91-301.3.jpg</v>
      </c>
    </row>
    <row r="1011" spans="1:13" x14ac:dyDescent="0.25">
      <c r="A1011" t="s">
        <v>2762</v>
      </c>
      <c r="B1011">
        <v>578472</v>
      </c>
      <c r="C1011">
        <v>5861202</v>
      </c>
      <c r="D1011">
        <v>21</v>
      </c>
      <c r="E1011" t="s">
        <v>15</v>
      </c>
      <c r="F1011" t="s">
        <v>2763</v>
      </c>
      <c r="G1011">
        <v>1</v>
      </c>
      <c r="H1011" t="s">
        <v>874</v>
      </c>
      <c r="I1011" t="s">
        <v>647</v>
      </c>
      <c r="J1011" t="s">
        <v>300</v>
      </c>
      <c r="K1011" t="s">
        <v>20</v>
      </c>
      <c r="L1011" t="s">
        <v>2764</v>
      </c>
      <c r="M1011" s="3" t="str">
        <f>HYPERLINK("..\..\Imagery\ScannedPhotos\1986\SN86-318.jpg")</f>
        <v>..\..\Imagery\ScannedPhotos\1986\SN86-318.jpg</v>
      </c>
    </row>
    <row r="1012" spans="1:13" x14ac:dyDescent="0.25">
      <c r="A1012" t="s">
        <v>1417</v>
      </c>
      <c r="B1012">
        <v>479895</v>
      </c>
      <c r="C1012">
        <v>5828664</v>
      </c>
      <c r="D1012">
        <v>21</v>
      </c>
      <c r="E1012" t="s">
        <v>15</v>
      </c>
      <c r="F1012" t="s">
        <v>2765</v>
      </c>
      <c r="G1012">
        <v>5</v>
      </c>
      <c r="H1012" t="s">
        <v>849</v>
      </c>
      <c r="I1012" t="s">
        <v>18</v>
      </c>
      <c r="J1012" t="s">
        <v>850</v>
      </c>
      <c r="K1012" t="s">
        <v>20</v>
      </c>
      <c r="L1012" t="s">
        <v>2766</v>
      </c>
      <c r="M1012" s="3" t="str">
        <f>HYPERLINK("..\..\Imagery\ScannedPhotos\1991\VN91-155.5.jpg")</f>
        <v>..\..\Imagery\ScannedPhotos\1991\VN91-155.5.jpg</v>
      </c>
    </row>
    <row r="1013" spans="1:13" x14ac:dyDescent="0.25">
      <c r="A1013" t="s">
        <v>1417</v>
      </c>
      <c r="B1013">
        <v>479895</v>
      </c>
      <c r="C1013">
        <v>5828664</v>
      </c>
      <c r="D1013">
        <v>21</v>
      </c>
      <c r="E1013" t="s">
        <v>15</v>
      </c>
      <c r="F1013" t="s">
        <v>2767</v>
      </c>
      <c r="G1013">
        <v>5</v>
      </c>
      <c r="H1013" t="s">
        <v>849</v>
      </c>
      <c r="I1013" t="s">
        <v>294</v>
      </c>
      <c r="J1013" t="s">
        <v>850</v>
      </c>
      <c r="K1013" t="s">
        <v>20</v>
      </c>
      <c r="L1013" t="s">
        <v>1419</v>
      </c>
      <c r="M1013" s="3" t="str">
        <f>HYPERLINK("..\..\Imagery\ScannedPhotos\1991\VN91-155.1.jpg")</f>
        <v>..\..\Imagery\ScannedPhotos\1991\VN91-155.1.jpg</v>
      </c>
    </row>
    <row r="1014" spans="1:13" x14ac:dyDescent="0.25">
      <c r="A1014" t="s">
        <v>1417</v>
      </c>
      <c r="B1014">
        <v>479895</v>
      </c>
      <c r="C1014">
        <v>5828664</v>
      </c>
      <c r="D1014">
        <v>21</v>
      </c>
      <c r="E1014" t="s">
        <v>15</v>
      </c>
      <c r="F1014" t="s">
        <v>2768</v>
      </c>
      <c r="G1014">
        <v>5</v>
      </c>
      <c r="H1014" t="s">
        <v>849</v>
      </c>
      <c r="I1014" t="s">
        <v>137</v>
      </c>
      <c r="J1014" t="s">
        <v>850</v>
      </c>
      <c r="K1014" t="s">
        <v>56</v>
      </c>
      <c r="L1014" t="s">
        <v>2769</v>
      </c>
      <c r="M1014" s="3" t="str">
        <f>HYPERLINK("..\..\Imagery\ScannedPhotos\1991\VN91-155.4.jpg")</f>
        <v>..\..\Imagery\ScannedPhotos\1991\VN91-155.4.jpg</v>
      </c>
    </row>
    <row r="1015" spans="1:13" x14ac:dyDescent="0.25">
      <c r="A1015" t="s">
        <v>1417</v>
      </c>
      <c r="B1015">
        <v>479895</v>
      </c>
      <c r="C1015">
        <v>5828664</v>
      </c>
      <c r="D1015">
        <v>21</v>
      </c>
      <c r="E1015" t="s">
        <v>15</v>
      </c>
      <c r="F1015" t="s">
        <v>2770</v>
      </c>
      <c r="G1015">
        <v>5</v>
      </c>
      <c r="H1015" t="s">
        <v>849</v>
      </c>
      <c r="I1015" t="s">
        <v>281</v>
      </c>
      <c r="J1015" t="s">
        <v>850</v>
      </c>
      <c r="K1015" t="s">
        <v>56</v>
      </c>
      <c r="L1015" t="s">
        <v>2769</v>
      </c>
      <c r="M1015" s="3" t="str">
        <f>HYPERLINK("..\..\Imagery\ScannedPhotos\1991\VN91-155.3.jpg")</f>
        <v>..\..\Imagery\ScannedPhotos\1991\VN91-155.3.jpg</v>
      </c>
    </row>
    <row r="1016" spans="1:13" x14ac:dyDescent="0.25">
      <c r="A1016" t="s">
        <v>2771</v>
      </c>
      <c r="B1016">
        <v>463803</v>
      </c>
      <c r="C1016">
        <v>5940331</v>
      </c>
      <c r="D1016">
        <v>21</v>
      </c>
      <c r="E1016" t="s">
        <v>15</v>
      </c>
      <c r="F1016" t="s">
        <v>2772</v>
      </c>
      <c r="G1016">
        <v>2</v>
      </c>
      <c r="H1016" t="s">
        <v>1188</v>
      </c>
      <c r="I1016" t="s">
        <v>30</v>
      </c>
      <c r="J1016" t="s">
        <v>48</v>
      </c>
      <c r="K1016" t="s">
        <v>228</v>
      </c>
      <c r="L1016" t="s">
        <v>2773</v>
      </c>
      <c r="M1016" s="3" t="str">
        <f>HYPERLINK("..\..\Imagery\ScannedPhotos\1981\CG81-284.2.jpg")</f>
        <v>..\..\Imagery\ScannedPhotos\1981\CG81-284.2.jpg</v>
      </c>
    </row>
    <row r="1017" spans="1:13" x14ac:dyDescent="0.25">
      <c r="A1017" t="s">
        <v>2771</v>
      </c>
      <c r="B1017">
        <v>463803</v>
      </c>
      <c r="C1017">
        <v>5940331</v>
      </c>
      <c r="D1017">
        <v>21</v>
      </c>
      <c r="E1017" t="s">
        <v>15</v>
      </c>
      <c r="F1017" t="s">
        <v>2774</v>
      </c>
      <c r="G1017">
        <v>2</v>
      </c>
      <c r="H1017" t="s">
        <v>1188</v>
      </c>
      <c r="I1017" t="s">
        <v>647</v>
      </c>
      <c r="J1017" t="s">
        <v>48</v>
      </c>
      <c r="K1017" t="s">
        <v>228</v>
      </c>
      <c r="L1017" t="s">
        <v>2775</v>
      </c>
      <c r="M1017" s="3" t="str">
        <f>HYPERLINK("..\..\Imagery\ScannedPhotos\1981\CG81-284.1.jpg")</f>
        <v>..\..\Imagery\ScannedPhotos\1981\CG81-284.1.jpg</v>
      </c>
    </row>
    <row r="1018" spans="1:13" x14ac:dyDescent="0.25">
      <c r="A1018" t="s">
        <v>1388</v>
      </c>
      <c r="B1018">
        <v>595341</v>
      </c>
      <c r="C1018">
        <v>5793672</v>
      </c>
      <c r="D1018">
        <v>21</v>
      </c>
      <c r="E1018" t="s">
        <v>15</v>
      </c>
      <c r="F1018" t="s">
        <v>2776</v>
      </c>
      <c r="G1018">
        <v>4</v>
      </c>
      <c r="H1018" t="s">
        <v>1390</v>
      </c>
      <c r="I1018" t="s">
        <v>18</v>
      </c>
      <c r="J1018" t="s">
        <v>1391</v>
      </c>
      <c r="K1018" t="s">
        <v>20</v>
      </c>
      <c r="L1018" t="s">
        <v>2777</v>
      </c>
      <c r="M1018" s="3" t="str">
        <f>HYPERLINK("..\..\Imagery\ScannedPhotos\1987\CG87-580.1.jpg")</f>
        <v>..\..\Imagery\ScannedPhotos\1987\CG87-580.1.jpg</v>
      </c>
    </row>
    <row r="1019" spans="1:13" x14ac:dyDescent="0.25">
      <c r="A1019" t="s">
        <v>2778</v>
      </c>
      <c r="B1019">
        <v>596476</v>
      </c>
      <c r="C1019">
        <v>5792143</v>
      </c>
      <c r="D1019">
        <v>21</v>
      </c>
      <c r="E1019" t="s">
        <v>15</v>
      </c>
      <c r="F1019" t="s">
        <v>2779</v>
      </c>
      <c r="G1019">
        <v>3</v>
      </c>
      <c r="K1019" t="s">
        <v>56</v>
      </c>
      <c r="L1019" t="s">
        <v>2780</v>
      </c>
      <c r="M1019" s="3" t="str">
        <f>HYPERLINK("..\..\Imagery\ScannedPhotos\2007\CG07-137.2.jpg")</f>
        <v>..\..\Imagery\ScannedPhotos\2007\CG07-137.2.jpg</v>
      </c>
    </row>
    <row r="1020" spans="1:13" x14ac:dyDescent="0.25">
      <c r="A1020" t="s">
        <v>2778</v>
      </c>
      <c r="B1020">
        <v>596476</v>
      </c>
      <c r="C1020">
        <v>5792143</v>
      </c>
      <c r="D1020">
        <v>21</v>
      </c>
      <c r="E1020" t="s">
        <v>15</v>
      </c>
      <c r="F1020" t="s">
        <v>2781</v>
      </c>
      <c r="G1020">
        <v>3</v>
      </c>
      <c r="K1020" t="s">
        <v>228</v>
      </c>
      <c r="L1020" t="s">
        <v>2782</v>
      </c>
      <c r="M1020" s="3" t="str">
        <f>HYPERLINK("..\..\Imagery\ScannedPhotos\2007\CG07-137.3.jpg")</f>
        <v>..\..\Imagery\ScannedPhotos\2007\CG07-137.3.jpg</v>
      </c>
    </row>
    <row r="1021" spans="1:13" x14ac:dyDescent="0.25">
      <c r="A1021" t="s">
        <v>2783</v>
      </c>
      <c r="B1021">
        <v>490979</v>
      </c>
      <c r="C1021">
        <v>5938581</v>
      </c>
      <c r="D1021">
        <v>21</v>
      </c>
      <c r="E1021" t="s">
        <v>15</v>
      </c>
      <c r="F1021" t="s">
        <v>2784</v>
      </c>
      <c r="G1021">
        <v>2</v>
      </c>
      <c r="H1021" t="s">
        <v>142</v>
      </c>
      <c r="I1021" t="s">
        <v>217</v>
      </c>
      <c r="J1021" t="s">
        <v>144</v>
      </c>
      <c r="K1021" t="s">
        <v>56</v>
      </c>
      <c r="L1021" t="s">
        <v>2785</v>
      </c>
      <c r="M1021" s="3" t="str">
        <f>HYPERLINK("..\..\Imagery\ScannedPhotos\1977\MC77-011.2.jpg")</f>
        <v>..\..\Imagery\ScannedPhotos\1977\MC77-011.2.jpg</v>
      </c>
    </row>
    <row r="1022" spans="1:13" x14ac:dyDescent="0.25">
      <c r="A1022" t="s">
        <v>2783</v>
      </c>
      <c r="B1022">
        <v>490979</v>
      </c>
      <c r="C1022">
        <v>5938581</v>
      </c>
      <c r="D1022">
        <v>21</v>
      </c>
      <c r="E1022" t="s">
        <v>15</v>
      </c>
      <c r="F1022" t="s">
        <v>2786</v>
      </c>
      <c r="G1022">
        <v>2</v>
      </c>
      <c r="H1022" t="s">
        <v>142</v>
      </c>
      <c r="I1022" t="s">
        <v>386</v>
      </c>
      <c r="J1022" t="s">
        <v>144</v>
      </c>
      <c r="K1022" t="s">
        <v>56</v>
      </c>
      <c r="L1022" t="s">
        <v>2785</v>
      </c>
      <c r="M1022" s="3" t="str">
        <f>HYPERLINK("..\..\Imagery\ScannedPhotos\1977\MC77-011.1.jpg")</f>
        <v>..\..\Imagery\ScannedPhotos\1977\MC77-011.1.jpg</v>
      </c>
    </row>
    <row r="1023" spans="1:13" x14ac:dyDescent="0.25">
      <c r="A1023" t="s">
        <v>2787</v>
      </c>
      <c r="B1023">
        <v>480289</v>
      </c>
      <c r="C1023">
        <v>5829334</v>
      </c>
      <c r="D1023">
        <v>21</v>
      </c>
      <c r="E1023" t="s">
        <v>15</v>
      </c>
      <c r="F1023" t="s">
        <v>2788</v>
      </c>
      <c r="G1023">
        <v>2</v>
      </c>
      <c r="H1023" t="s">
        <v>2789</v>
      </c>
      <c r="I1023" t="s">
        <v>52</v>
      </c>
      <c r="J1023" t="s">
        <v>413</v>
      </c>
      <c r="K1023" t="s">
        <v>20</v>
      </c>
      <c r="L1023" t="s">
        <v>2790</v>
      </c>
      <c r="M1023" s="3" t="str">
        <f>HYPERLINK("..\..\Imagery\ScannedPhotos\1991\VN91-154.1.jpg")</f>
        <v>..\..\Imagery\ScannedPhotos\1991\VN91-154.1.jpg</v>
      </c>
    </row>
    <row r="1024" spans="1:13" x14ac:dyDescent="0.25">
      <c r="A1024" t="s">
        <v>2787</v>
      </c>
      <c r="B1024">
        <v>480289</v>
      </c>
      <c r="C1024">
        <v>5829334</v>
      </c>
      <c r="D1024">
        <v>21</v>
      </c>
      <c r="E1024" t="s">
        <v>15</v>
      </c>
      <c r="F1024" t="s">
        <v>2791</v>
      </c>
      <c r="G1024">
        <v>2</v>
      </c>
      <c r="H1024" t="s">
        <v>2789</v>
      </c>
      <c r="I1024" t="s">
        <v>65</v>
      </c>
      <c r="J1024" t="s">
        <v>413</v>
      </c>
      <c r="K1024" t="s">
        <v>20</v>
      </c>
      <c r="L1024" t="s">
        <v>2790</v>
      </c>
      <c r="M1024" s="3" t="str">
        <f>HYPERLINK("..\..\Imagery\ScannedPhotos\1991\VN91-154.2.jpg")</f>
        <v>..\..\Imagery\ScannedPhotos\1991\VN91-154.2.jpg</v>
      </c>
    </row>
    <row r="1025" spans="1:13" x14ac:dyDescent="0.25">
      <c r="A1025" t="s">
        <v>2792</v>
      </c>
      <c r="B1025">
        <v>488150</v>
      </c>
      <c r="C1025">
        <v>5847950</v>
      </c>
      <c r="D1025">
        <v>21</v>
      </c>
      <c r="E1025" t="s">
        <v>15</v>
      </c>
      <c r="F1025" t="s">
        <v>2793</v>
      </c>
      <c r="G1025">
        <v>3</v>
      </c>
      <c r="H1025" t="s">
        <v>1128</v>
      </c>
      <c r="I1025" t="s">
        <v>41</v>
      </c>
      <c r="J1025" t="s">
        <v>1129</v>
      </c>
      <c r="K1025" t="s">
        <v>20</v>
      </c>
      <c r="L1025" t="s">
        <v>2794</v>
      </c>
      <c r="M1025" s="3" t="str">
        <f>HYPERLINK("..\..\Imagery\ScannedPhotos\1991\VN91-103.2.jpg")</f>
        <v>..\..\Imagery\ScannedPhotos\1991\VN91-103.2.jpg</v>
      </c>
    </row>
    <row r="1026" spans="1:13" x14ac:dyDescent="0.25">
      <c r="A1026" t="s">
        <v>2795</v>
      </c>
      <c r="B1026">
        <v>491150</v>
      </c>
      <c r="C1026">
        <v>5841700</v>
      </c>
      <c r="D1026">
        <v>21</v>
      </c>
      <c r="E1026" t="s">
        <v>15</v>
      </c>
      <c r="F1026" t="s">
        <v>2796</v>
      </c>
      <c r="G1026">
        <v>2</v>
      </c>
      <c r="H1026" t="s">
        <v>40</v>
      </c>
      <c r="I1026" t="s">
        <v>375</v>
      </c>
      <c r="J1026" t="s">
        <v>42</v>
      </c>
      <c r="K1026" t="s">
        <v>20</v>
      </c>
      <c r="L1026" t="s">
        <v>2797</v>
      </c>
      <c r="M1026" s="3" t="str">
        <f>HYPERLINK("..\..\Imagery\ScannedPhotos\1991\DD91-048.2.jpg")</f>
        <v>..\..\Imagery\ScannedPhotos\1991\DD91-048.2.jpg</v>
      </c>
    </row>
    <row r="1027" spans="1:13" x14ac:dyDescent="0.25">
      <c r="A1027" t="s">
        <v>2798</v>
      </c>
      <c r="B1027">
        <v>491043</v>
      </c>
      <c r="C1027">
        <v>5840624</v>
      </c>
      <c r="D1027">
        <v>21</v>
      </c>
      <c r="E1027" t="s">
        <v>15</v>
      </c>
      <c r="F1027" t="s">
        <v>2799</v>
      </c>
      <c r="G1027">
        <v>3</v>
      </c>
      <c r="H1027" t="s">
        <v>40</v>
      </c>
      <c r="I1027" t="s">
        <v>209</v>
      </c>
      <c r="J1027" t="s">
        <v>42</v>
      </c>
      <c r="K1027" t="s">
        <v>20</v>
      </c>
      <c r="L1027" t="s">
        <v>2800</v>
      </c>
      <c r="M1027" s="3" t="str">
        <f>HYPERLINK("..\..\Imagery\ScannedPhotos\1991\DD91-049.2.jpg")</f>
        <v>..\..\Imagery\ScannedPhotos\1991\DD91-049.2.jpg</v>
      </c>
    </row>
    <row r="1028" spans="1:13" x14ac:dyDescent="0.25">
      <c r="A1028" t="s">
        <v>1350</v>
      </c>
      <c r="B1028">
        <v>470069</v>
      </c>
      <c r="C1028">
        <v>5911564</v>
      </c>
      <c r="D1028">
        <v>21</v>
      </c>
      <c r="E1028" t="s">
        <v>15</v>
      </c>
      <c r="F1028" t="s">
        <v>2801</v>
      </c>
      <c r="G1028">
        <v>6</v>
      </c>
      <c r="K1028" t="s">
        <v>20</v>
      </c>
      <c r="L1028" t="s">
        <v>965</v>
      </c>
      <c r="M1028" s="3" t="str">
        <f>HYPERLINK("..\..\Imagery\ScannedPhotos\2004\CG04-210.3.jpg")</f>
        <v>..\..\Imagery\ScannedPhotos\2004\CG04-210.3.jpg</v>
      </c>
    </row>
    <row r="1029" spans="1:13" x14ac:dyDescent="0.25">
      <c r="A1029" t="s">
        <v>1350</v>
      </c>
      <c r="B1029">
        <v>470069</v>
      </c>
      <c r="C1029">
        <v>5911564</v>
      </c>
      <c r="D1029">
        <v>21</v>
      </c>
      <c r="E1029" t="s">
        <v>15</v>
      </c>
      <c r="F1029" t="s">
        <v>2802</v>
      </c>
      <c r="G1029">
        <v>6</v>
      </c>
      <c r="K1029" t="s">
        <v>20</v>
      </c>
      <c r="L1029" t="s">
        <v>965</v>
      </c>
      <c r="M1029" s="3" t="str">
        <f>HYPERLINK("..\..\Imagery\ScannedPhotos\2004\CG04-210.4.jpg")</f>
        <v>..\..\Imagery\ScannedPhotos\2004\CG04-210.4.jpg</v>
      </c>
    </row>
    <row r="1030" spans="1:13" x14ac:dyDescent="0.25">
      <c r="A1030" t="s">
        <v>1350</v>
      </c>
      <c r="B1030">
        <v>470069</v>
      </c>
      <c r="C1030">
        <v>5911564</v>
      </c>
      <c r="D1030">
        <v>21</v>
      </c>
      <c r="E1030" t="s">
        <v>15</v>
      </c>
      <c r="F1030" t="s">
        <v>2803</v>
      </c>
      <c r="G1030">
        <v>6</v>
      </c>
      <c r="K1030" t="s">
        <v>20</v>
      </c>
      <c r="L1030" t="s">
        <v>2804</v>
      </c>
      <c r="M1030" s="3" t="str">
        <f>HYPERLINK("..\..\Imagery\ScannedPhotos\2004\CG04-210.5.jpg")</f>
        <v>..\..\Imagery\ScannedPhotos\2004\CG04-210.5.jpg</v>
      </c>
    </row>
    <row r="1031" spans="1:13" x14ac:dyDescent="0.25">
      <c r="A1031" t="s">
        <v>1350</v>
      </c>
      <c r="B1031">
        <v>470069</v>
      </c>
      <c r="C1031">
        <v>5911564</v>
      </c>
      <c r="D1031">
        <v>21</v>
      </c>
      <c r="E1031" t="s">
        <v>15</v>
      </c>
      <c r="F1031" t="s">
        <v>2805</v>
      </c>
      <c r="G1031">
        <v>6</v>
      </c>
      <c r="K1031" t="s">
        <v>20</v>
      </c>
      <c r="L1031" t="s">
        <v>1345</v>
      </c>
      <c r="M1031" s="3" t="str">
        <f>HYPERLINK("..\..\Imagery\ScannedPhotos\2004\CG04-210.6.jpg")</f>
        <v>..\..\Imagery\ScannedPhotos\2004\CG04-210.6.jpg</v>
      </c>
    </row>
    <row r="1032" spans="1:13" x14ac:dyDescent="0.25">
      <c r="A1032" t="s">
        <v>2806</v>
      </c>
      <c r="B1032">
        <v>468361</v>
      </c>
      <c r="C1032">
        <v>5908557</v>
      </c>
      <c r="D1032">
        <v>21</v>
      </c>
      <c r="E1032" t="s">
        <v>15</v>
      </c>
      <c r="F1032" t="s">
        <v>2807</v>
      </c>
      <c r="G1032">
        <v>2</v>
      </c>
      <c r="K1032" t="s">
        <v>56</v>
      </c>
      <c r="L1032" t="s">
        <v>2808</v>
      </c>
      <c r="M1032" s="3" t="str">
        <f>HYPERLINK("..\..\Imagery\ScannedPhotos\2004\CG04-216.1.jpg")</f>
        <v>..\..\Imagery\ScannedPhotos\2004\CG04-216.1.jpg</v>
      </c>
    </row>
    <row r="1033" spans="1:13" x14ac:dyDescent="0.25">
      <c r="A1033" t="s">
        <v>2806</v>
      </c>
      <c r="B1033">
        <v>468361</v>
      </c>
      <c r="C1033">
        <v>5908557</v>
      </c>
      <c r="D1033">
        <v>21</v>
      </c>
      <c r="E1033" t="s">
        <v>15</v>
      </c>
      <c r="F1033" t="s">
        <v>2809</v>
      </c>
      <c r="G1033">
        <v>2</v>
      </c>
      <c r="K1033" t="s">
        <v>56</v>
      </c>
      <c r="L1033" t="s">
        <v>2810</v>
      </c>
      <c r="M1033" s="3" t="str">
        <f>HYPERLINK("..\..\Imagery\ScannedPhotos\2004\CG04-216.2.jpg")</f>
        <v>..\..\Imagery\ScannedPhotos\2004\CG04-216.2.jpg</v>
      </c>
    </row>
    <row r="1034" spans="1:13" x14ac:dyDescent="0.25">
      <c r="A1034" t="s">
        <v>2811</v>
      </c>
      <c r="B1034">
        <v>341391</v>
      </c>
      <c r="C1034">
        <v>5773023</v>
      </c>
      <c r="D1034">
        <v>21</v>
      </c>
      <c r="E1034" t="s">
        <v>15</v>
      </c>
      <c r="F1034" t="s">
        <v>2812</v>
      </c>
      <c r="G1034">
        <v>1</v>
      </c>
      <c r="H1034" t="s">
        <v>78</v>
      </c>
      <c r="I1034" t="s">
        <v>30</v>
      </c>
      <c r="J1034" t="s">
        <v>80</v>
      </c>
      <c r="K1034" t="s">
        <v>20</v>
      </c>
      <c r="L1034" t="s">
        <v>2813</v>
      </c>
      <c r="M1034" s="3" t="str">
        <f>HYPERLINK("..\..\Imagery\ScannedPhotos\2000\CG00-179.jpg")</f>
        <v>..\..\Imagery\ScannedPhotos\2000\CG00-179.jpg</v>
      </c>
    </row>
    <row r="1035" spans="1:13" x14ac:dyDescent="0.25">
      <c r="A1035" t="s">
        <v>2814</v>
      </c>
      <c r="B1035">
        <v>547041</v>
      </c>
      <c r="C1035">
        <v>5752069</v>
      </c>
      <c r="D1035">
        <v>21</v>
      </c>
      <c r="E1035" t="s">
        <v>15</v>
      </c>
      <c r="F1035" t="s">
        <v>2815</v>
      </c>
      <c r="G1035">
        <v>1</v>
      </c>
      <c r="H1035" t="s">
        <v>2816</v>
      </c>
      <c r="I1035" t="s">
        <v>69</v>
      </c>
      <c r="J1035" t="s">
        <v>1514</v>
      </c>
      <c r="K1035" t="s">
        <v>20</v>
      </c>
      <c r="L1035" t="s">
        <v>2817</v>
      </c>
      <c r="M1035" s="3" t="str">
        <f>HYPERLINK("..\..\Imagery\ScannedPhotos\1993\DL93-280.jpg")</f>
        <v>..\..\Imagery\ScannedPhotos\1993\DL93-280.jpg</v>
      </c>
    </row>
    <row r="1036" spans="1:13" x14ac:dyDescent="0.25">
      <c r="A1036" t="s">
        <v>2818</v>
      </c>
      <c r="B1036">
        <v>547083</v>
      </c>
      <c r="C1036">
        <v>5752328</v>
      </c>
      <c r="D1036">
        <v>21</v>
      </c>
      <c r="E1036" t="s">
        <v>15</v>
      </c>
      <c r="F1036" t="s">
        <v>2819</v>
      </c>
      <c r="G1036">
        <v>1</v>
      </c>
      <c r="H1036" t="s">
        <v>2816</v>
      </c>
      <c r="I1036" t="s">
        <v>74</v>
      </c>
      <c r="J1036" t="s">
        <v>1514</v>
      </c>
      <c r="K1036" t="s">
        <v>20</v>
      </c>
      <c r="L1036" t="s">
        <v>2820</v>
      </c>
      <c r="M1036" s="3" t="str">
        <f>HYPERLINK("..\..\Imagery\ScannedPhotos\1993\DL93-281.jpg")</f>
        <v>..\..\Imagery\ScannedPhotos\1993\DL93-281.jpg</v>
      </c>
    </row>
    <row r="1037" spans="1:13" x14ac:dyDescent="0.25">
      <c r="A1037" t="s">
        <v>2821</v>
      </c>
      <c r="B1037">
        <v>547429</v>
      </c>
      <c r="C1037">
        <v>5753404</v>
      </c>
      <c r="D1037">
        <v>21</v>
      </c>
      <c r="E1037" t="s">
        <v>15</v>
      </c>
      <c r="F1037" t="s">
        <v>2822</v>
      </c>
      <c r="G1037">
        <v>1</v>
      </c>
      <c r="H1037" t="s">
        <v>2816</v>
      </c>
      <c r="I1037" t="s">
        <v>41</v>
      </c>
      <c r="J1037" t="s">
        <v>1514</v>
      </c>
      <c r="K1037" t="s">
        <v>20</v>
      </c>
      <c r="L1037" t="s">
        <v>2823</v>
      </c>
      <c r="M1037" s="3" t="str">
        <f>HYPERLINK("..\..\Imagery\ScannedPhotos\1993\DL93-284.jpg")</f>
        <v>..\..\Imagery\ScannedPhotos\1993\DL93-284.jpg</v>
      </c>
    </row>
    <row r="1038" spans="1:13" x14ac:dyDescent="0.25">
      <c r="A1038" t="s">
        <v>2824</v>
      </c>
      <c r="B1038">
        <v>516354</v>
      </c>
      <c r="C1038">
        <v>5711394</v>
      </c>
      <c r="D1038">
        <v>21</v>
      </c>
      <c r="E1038" t="s">
        <v>15</v>
      </c>
      <c r="F1038" t="s">
        <v>2825</v>
      </c>
      <c r="G1038">
        <v>2</v>
      </c>
      <c r="H1038" t="s">
        <v>1076</v>
      </c>
      <c r="I1038" t="s">
        <v>217</v>
      </c>
      <c r="J1038" t="s">
        <v>570</v>
      </c>
      <c r="K1038" t="s">
        <v>20</v>
      </c>
      <c r="L1038" t="s">
        <v>2826</v>
      </c>
      <c r="M1038" s="3" t="str">
        <f>HYPERLINK("..\..\Imagery\ScannedPhotos\1993\CG93-274.1.jpg")</f>
        <v>..\..\Imagery\ScannedPhotos\1993\CG93-274.1.jpg</v>
      </c>
    </row>
    <row r="1039" spans="1:13" x14ac:dyDescent="0.25">
      <c r="A1039" t="s">
        <v>2824</v>
      </c>
      <c r="B1039">
        <v>516354</v>
      </c>
      <c r="C1039">
        <v>5711394</v>
      </c>
      <c r="D1039">
        <v>21</v>
      </c>
      <c r="E1039" t="s">
        <v>15</v>
      </c>
      <c r="F1039" t="s">
        <v>2827</v>
      </c>
      <c r="G1039">
        <v>2</v>
      </c>
      <c r="H1039" t="s">
        <v>1076</v>
      </c>
      <c r="I1039" t="s">
        <v>214</v>
      </c>
      <c r="J1039" t="s">
        <v>570</v>
      </c>
      <c r="K1039" t="s">
        <v>20</v>
      </c>
      <c r="L1039" t="s">
        <v>2826</v>
      </c>
      <c r="M1039" s="3" t="str">
        <f>HYPERLINK("..\..\Imagery\ScannedPhotos\1993\CG93-274.2.jpg")</f>
        <v>..\..\Imagery\ScannedPhotos\1993\CG93-274.2.jpg</v>
      </c>
    </row>
    <row r="1040" spans="1:13" x14ac:dyDescent="0.25">
      <c r="A1040" t="s">
        <v>2828</v>
      </c>
      <c r="B1040">
        <v>516269</v>
      </c>
      <c r="C1040">
        <v>5711018</v>
      </c>
      <c r="D1040">
        <v>21</v>
      </c>
      <c r="E1040" t="s">
        <v>15</v>
      </c>
      <c r="F1040" t="s">
        <v>2829</v>
      </c>
      <c r="G1040">
        <v>3</v>
      </c>
      <c r="H1040" t="s">
        <v>1076</v>
      </c>
      <c r="I1040" t="s">
        <v>222</v>
      </c>
      <c r="J1040" t="s">
        <v>570</v>
      </c>
      <c r="K1040" t="s">
        <v>20</v>
      </c>
      <c r="L1040" t="s">
        <v>2830</v>
      </c>
      <c r="M1040" s="3" t="str">
        <f>HYPERLINK("..\..\Imagery\ScannedPhotos\1993\CG93-275.1.jpg")</f>
        <v>..\..\Imagery\ScannedPhotos\1993\CG93-275.1.jpg</v>
      </c>
    </row>
    <row r="1041" spans="1:13" x14ac:dyDescent="0.25">
      <c r="A1041" t="s">
        <v>2828</v>
      </c>
      <c r="B1041">
        <v>516269</v>
      </c>
      <c r="C1041">
        <v>5711018</v>
      </c>
      <c r="D1041">
        <v>21</v>
      </c>
      <c r="E1041" t="s">
        <v>15</v>
      </c>
      <c r="F1041" t="s">
        <v>2831</v>
      </c>
      <c r="G1041">
        <v>3</v>
      </c>
      <c r="H1041" t="s">
        <v>1076</v>
      </c>
      <c r="I1041" t="s">
        <v>418</v>
      </c>
      <c r="J1041" t="s">
        <v>570</v>
      </c>
      <c r="K1041" t="s">
        <v>56</v>
      </c>
      <c r="L1041" t="s">
        <v>2832</v>
      </c>
      <c r="M1041" s="3" t="str">
        <f>HYPERLINK("..\..\Imagery\ScannedPhotos\1993\CG93-275.2.jpg")</f>
        <v>..\..\Imagery\ScannedPhotos\1993\CG93-275.2.jpg</v>
      </c>
    </row>
    <row r="1042" spans="1:13" x14ac:dyDescent="0.25">
      <c r="A1042" t="s">
        <v>2828</v>
      </c>
      <c r="B1042">
        <v>516269</v>
      </c>
      <c r="C1042">
        <v>5711018</v>
      </c>
      <c r="D1042">
        <v>21</v>
      </c>
      <c r="E1042" t="s">
        <v>15</v>
      </c>
      <c r="F1042" t="s">
        <v>2833</v>
      </c>
      <c r="G1042">
        <v>3</v>
      </c>
      <c r="H1042" t="s">
        <v>1076</v>
      </c>
      <c r="I1042" t="s">
        <v>304</v>
      </c>
      <c r="J1042" t="s">
        <v>570</v>
      </c>
      <c r="K1042" t="s">
        <v>20</v>
      </c>
      <c r="L1042" t="s">
        <v>2834</v>
      </c>
      <c r="M1042" s="3" t="str">
        <f>HYPERLINK("..\..\Imagery\ScannedPhotos\1993\CG93-275.3.jpg")</f>
        <v>..\..\Imagery\ScannedPhotos\1993\CG93-275.3.jpg</v>
      </c>
    </row>
    <row r="1043" spans="1:13" x14ac:dyDescent="0.25">
      <c r="A1043" t="s">
        <v>2835</v>
      </c>
      <c r="B1043">
        <v>452567</v>
      </c>
      <c r="C1043">
        <v>6025283</v>
      </c>
      <c r="D1043">
        <v>21</v>
      </c>
      <c r="E1043" t="s">
        <v>15</v>
      </c>
      <c r="F1043" t="s">
        <v>2836</v>
      </c>
      <c r="G1043">
        <v>3</v>
      </c>
      <c r="H1043" t="s">
        <v>1862</v>
      </c>
      <c r="I1043" t="s">
        <v>214</v>
      </c>
      <c r="J1043" t="s">
        <v>1863</v>
      </c>
      <c r="K1043" t="s">
        <v>20</v>
      </c>
      <c r="L1043" t="s">
        <v>2837</v>
      </c>
      <c r="M1043" s="3" t="str">
        <f>HYPERLINK("..\..\Imagery\ScannedPhotos\1979\CG79-791.2.jpg")</f>
        <v>..\..\Imagery\ScannedPhotos\1979\CG79-791.2.jpg</v>
      </c>
    </row>
    <row r="1044" spans="1:13" x14ac:dyDescent="0.25">
      <c r="A1044" t="s">
        <v>2838</v>
      </c>
      <c r="B1044">
        <v>449250</v>
      </c>
      <c r="C1044">
        <v>6024859</v>
      </c>
      <c r="D1044">
        <v>21</v>
      </c>
      <c r="E1044" t="s">
        <v>15</v>
      </c>
      <c r="F1044" t="s">
        <v>2839</v>
      </c>
      <c r="G1044">
        <v>2</v>
      </c>
      <c r="H1044" t="s">
        <v>1862</v>
      </c>
      <c r="I1044" t="s">
        <v>418</v>
      </c>
      <c r="J1044" t="s">
        <v>1863</v>
      </c>
      <c r="K1044" t="s">
        <v>20</v>
      </c>
      <c r="L1044" t="s">
        <v>2840</v>
      </c>
      <c r="M1044" s="3" t="str">
        <f>HYPERLINK("..\..\Imagery\ScannedPhotos\1979\CG79-794.1.jpg")</f>
        <v>..\..\Imagery\ScannedPhotos\1979\CG79-794.1.jpg</v>
      </c>
    </row>
    <row r="1045" spans="1:13" x14ac:dyDescent="0.25">
      <c r="A1045" t="s">
        <v>2841</v>
      </c>
      <c r="B1045">
        <v>554268</v>
      </c>
      <c r="C1045">
        <v>5758721</v>
      </c>
      <c r="D1045">
        <v>21</v>
      </c>
      <c r="E1045" t="s">
        <v>15</v>
      </c>
      <c r="F1045" t="s">
        <v>2842</v>
      </c>
      <c r="G1045">
        <v>1</v>
      </c>
      <c r="H1045" t="s">
        <v>2816</v>
      </c>
      <c r="I1045" t="s">
        <v>209</v>
      </c>
      <c r="J1045" t="s">
        <v>1514</v>
      </c>
      <c r="K1045" t="s">
        <v>20</v>
      </c>
      <c r="L1045" t="s">
        <v>2843</v>
      </c>
      <c r="M1045" s="3" t="str">
        <f>HYPERLINK("..\..\Imagery\ScannedPhotos\1993\DL93-296.jpg")</f>
        <v>..\..\Imagery\ScannedPhotos\1993\DL93-296.jpg</v>
      </c>
    </row>
    <row r="1046" spans="1:13" x14ac:dyDescent="0.25">
      <c r="A1046" t="s">
        <v>2844</v>
      </c>
      <c r="B1046">
        <v>569413</v>
      </c>
      <c r="C1046">
        <v>5750607</v>
      </c>
      <c r="D1046">
        <v>21</v>
      </c>
      <c r="E1046" t="s">
        <v>15</v>
      </c>
      <c r="F1046" t="s">
        <v>2845</v>
      </c>
      <c r="G1046">
        <v>1</v>
      </c>
      <c r="H1046" t="s">
        <v>2816</v>
      </c>
      <c r="I1046" t="s">
        <v>214</v>
      </c>
      <c r="J1046" t="s">
        <v>1514</v>
      </c>
      <c r="K1046" t="s">
        <v>56</v>
      </c>
      <c r="L1046" t="s">
        <v>2846</v>
      </c>
      <c r="M1046" s="3" t="str">
        <f>HYPERLINK("..\..\Imagery\ScannedPhotos\1993\DL93-301.jpg")</f>
        <v>..\..\Imagery\ScannedPhotos\1993\DL93-301.jpg</v>
      </c>
    </row>
    <row r="1047" spans="1:13" x14ac:dyDescent="0.25">
      <c r="A1047" t="s">
        <v>2847</v>
      </c>
      <c r="B1047">
        <v>569567</v>
      </c>
      <c r="C1047">
        <v>5750793</v>
      </c>
      <c r="D1047">
        <v>21</v>
      </c>
      <c r="E1047" t="s">
        <v>15</v>
      </c>
      <c r="F1047" t="s">
        <v>2848</v>
      </c>
      <c r="G1047">
        <v>1</v>
      </c>
      <c r="H1047" t="s">
        <v>2816</v>
      </c>
      <c r="I1047" t="s">
        <v>25</v>
      </c>
      <c r="J1047" t="s">
        <v>1514</v>
      </c>
      <c r="K1047" t="s">
        <v>56</v>
      </c>
      <c r="L1047" t="s">
        <v>2849</v>
      </c>
      <c r="M1047" s="3" t="str">
        <f>HYPERLINK("..\..\Imagery\ScannedPhotos\1993\DL93-302.jpg")</f>
        <v>..\..\Imagery\ScannedPhotos\1993\DL93-302.jpg</v>
      </c>
    </row>
    <row r="1048" spans="1:13" x14ac:dyDescent="0.25">
      <c r="A1048" t="s">
        <v>2850</v>
      </c>
      <c r="B1048">
        <v>572039</v>
      </c>
      <c r="C1048">
        <v>5752830</v>
      </c>
      <c r="D1048">
        <v>21</v>
      </c>
      <c r="E1048" t="s">
        <v>15</v>
      </c>
      <c r="F1048" t="s">
        <v>2851</v>
      </c>
      <c r="G1048">
        <v>1</v>
      </c>
      <c r="H1048" t="s">
        <v>2816</v>
      </c>
      <c r="I1048" t="s">
        <v>647</v>
      </c>
      <c r="J1048" t="s">
        <v>1514</v>
      </c>
      <c r="K1048" t="s">
        <v>20</v>
      </c>
      <c r="L1048" t="s">
        <v>2852</v>
      </c>
      <c r="M1048" s="3" t="str">
        <f>HYPERLINK("..\..\Imagery\ScannedPhotos\1993\DL93-311.jpg")</f>
        <v>..\..\Imagery\ScannedPhotos\1993\DL93-311.jpg</v>
      </c>
    </row>
    <row r="1049" spans="1:13" x14ac:dyDescent="0.25">
      <c r="A1049" t="s">
        <v>2853</v>
      </c>
      <c r="B1049">
        <v>578057</v>
      </c>
      <c r="C1049">
        <v>5918428</v>
      </c>
      <c r="D1049">
        <v>21</v>
      </c>
      <c r="E1049" t="s">
        <v>15</v>
      </c>
      <c r="F1049" t="s">
        <v>2854</v>
      </c>
      <c r="G1049">
        <v>8</v>
      </c>
      <c r="H1049" t="s">
        <v>2855</v>
      </c>
      <c r="I1049" t="s">
        <v>132</v>
      </c>
      <c r="J1049" t="s">
        <v>1583</v>
      </c>
      <c r="K1049" t="s">
        <v>20</v>
      </c>
      <c r="L1049" t="s">
        <v>838</v>
      </c>
      <c r="M1049" s="3" t="str">
        <f>HYPERLINK("..\..\Imagery\ScannedPhotos\1985\CG85-608.3.jpg")</f>
        <v>..\..\Imagery\ScannedPhotos\1985\CG85-608.3.jpg</v>
      </c>
    </row>
    <row r="1050" spans="1:13" x14ac:dyDescent="0.25">
      <c r="A1050" t="s">
        <v>2853</v>
      </c>
      <c r="B1050">
        <v>578057</v>
      </c>
      <c r="C1050">
        <v>5918428</v>
      </c>
      <c r="D1050">
        <v>21</v>
      </c>
      <c r="E1050" t="s">
        <v>15</v>
      </c>
      <c r="F1050" t="s">
        <v>2856</v>
      </c>
      <c r="G1050">
        <v>8</v>
      </c>
      <c r="H1050" t="s">
        <v>2855</v>
      </c>
      <c r="I1050" t="s">
        <v>129</v>
      </c>
      <c r="J1050" t="s">
        <v>1583</v>
      </c>
      <c r="K1050" t="s">
        <v>56</v>
      </c>
      <c r="L1050" t="s">
        <v>838</v>
      </c>
      <c r="M1050" s="3" t="str">
        <f>HYPERLINK("..\..\Imagery\ScannedPhotos\1985\CG85-608.4.jpg")</f>
        <v>..\..\Imagery\ScannedPhotos\1985\CG85-608.4.jpg</v>
      </c>
    </row>
    <row r="1051" spans="1:13" x14ac:dyDescent="0.25">
      <c r="A1051" t="s">
        <v>2853</v>
      </c>
      <c r="B1051">
        <v>578057</v>
      </c>
      <c r="C1051">
        <v>5918428</v>
      </c>
      <c r="D1051">
        <v>21</v>
      </c>
      <c r="E1051" t="s">
        <v>15</v>
      </c>
      <c r="F1051" t="s">
        <v>2857</v>
      </c>
      <c r="G1051">
        <v>8</v>
      </c>
      <c r="H1051" t="s">
        <v>2855</v>
      </c>
      <c r="I1051" t="s">
        <v>143</v>
      </c>
      <c r="J1051" t="s">
        <v>1583</v>
      </c>
      <c r="K1051" t="s">
        <v>20</v>
      </c>
      <c r="L1051" t="s">
        <v>2858</v>
      </c>
      <c r="M1051" s="3" t="str">
        <f>HYPERLINK("..\..\Imagery\ScannedPhotos\1985\CG85-608.5.jpg")</f>
        <v>..\..\Imagery\ScannedPhotos\1985\CG85-608.5.jpg</v>
      </c>
    </row>
    <row r="1052" spans="1:13" x14ac:dyDescent="0.25">
      <c r="A1052" t="s">
        <v>2859</v>
      </c>
      <c r="B1052">
        <v>505680</v>
      </c>
      <c r="C1052">
        <v>5956434</v>
      </c>
      <c r="D1052">
        <v>21</v>
      </c>
      <c r="E1052" t="s">
        <v>15</v>
      </c>
      <c r="F1052" t="s">
        <v>2860</v>
      </c>
      <c r="G1052">
        <v>1</v>
      </c>
      <c r="H1052" t="s">
        <v>1480</v>
      </c>
      <c r="I1052" t="s">
        <v>147</v>
      </c>
      <c r="J1052" t="s">
        <v>48</v>
      </c>
      <c r="K1052" t="s">
        <v>20</v>
      </c>
      <c r="L1052" t="s">
        <v>2861</v>
      </c>
      <c r="M1052" s="3" t="str">
        <f>HYPERLINK("..\..\Imagery\ScannedPhotos\1981\CG81-714.jpg")</f>
        <v>..\..\Imagery\ScannedPhotos\1981\CG81-714.jpg</v>
      </c>
    </row>
    <row r="1053" spans="1:13" x14ac:dyDescent="0.25">
      <c r="A1053" t="s">
        <v>2862</v>
      </c>
      <c r="B1053">
        <v>506245</v>
      </c>
      <c r="C1053">
        <v>5957491</v>
      </c>
      <c r="D1053">
        <v>21</v>
      </c>
      <c r="E1053" t="s">
        <v>15</v>
      </c>
      <c r="F1053" t="s">
        <v>2863</v>
      </c>
      <c r="G1053">
        <v>1</v>
      </c>
      <c r="H1053" t="s">
        <v>1480</v>
      </c>
      <c r="I1053" t="s">
        <v>47</v>
      </c>
      <c r="J1053" t="s">
        <v>48</v>
      </c>
      <c r="K1053" t="s">
        <v>20</v>
      </c>
      <c r="L1053" t="s">
        <v>2864</v>
      </c>
      <c r="M1053" s="3" t="str">
        <f>HYPERLINK("..\..\Imagery\ScannedPhotos\1981\CG81-715.jpg")</f>
        <v>..\..\Imagery\ScannedPhotos\1981\CG81-715.jpg</v>
      </c>
    </row>
    <row r="1054" spans="1:13" x14ac:dyDescent="0.25">
      <c r="A1054" t="s">
        <v>2865</v>
      </c>
      <c r="B1054">
        <v>503291</v>
      </c>
      <c r="C1054">
        <v>5968632</v>
      </c>
      <c r="D1054">
        <v>21</v>
      </c>
      <c r="E1054" t="s">
        <v>15</v>
      </c>
      <c r="F1054" t="s">
        <v>2866</v>
      </c>
      <c r="G1054">
        <v>3</v>
      </c>
      <c r="H1054" t="s">
        <v>1197</v>
      </c>
      <c r="I1054" t="s">
        <v>281</v>
      </c>
      <c r="J1054" t="s">
        <v>48</v>
      </c>
      <c r="K1054" t="s">
        <v>20</v>
      </c>
      <c r="L1054" t="s">
        <v>2867</v>
      </c>
      <c r="M1054" s="3" t="str">
        <f>HYPERLINK("..\..\Imagery\ScannedPhotos\1981\CG81-739.3.jpg")</f>
        <v>..\..\Imagery\ScannedPhotos\1981\CG81-739.3.jpg</v>
      </c>
    </row>
    <row r="1055" spans="1:13" x14ac:dyDescent="0.25">
      <c r="A1055" t="s">
        <v>2868</v>
      </c>
      <c r="B1055">
        <v>525065</v>
      </c>
      <c r="C1055">
        <v>5736880</v>
      </c>
      <c r="D1055">
        <v>21</v>
      </c>
      <c r="E1055" t="s">
        <v>15</v>
      </c>
      <c r="F1055" t="s">
        <v>2869</v>
      </c>
      <c r="G1055">
        <v>1</v>
      </c>
      <c r="H1055" t="s">
        <v>1732</v>
      </c>
      <c r="I1055" t="s">
        <v>132</v>
      </c>
      <c r="J1055" t="s">
        <v>1733</v>
      </c>
      <c r="K1055" t="s">
        <v>56</v>
      </c>
      <c r="L1055" t="s">
        <v>2870</v>
      </c>
      <c r="M1055" s="3" t="str">
        <f>HYPERLINK("..\..\Imagery\ScannedPhotos\1993\CG93-682.jpg")</f>
        <v>..\..\Imagery\ScannedPhotos\1993\CG93-682.jpg</v>
      </c>
    </row>
    <row r="1056" spans="1:13" x14ac:dyDescent="0.25">
      <c r="A1056" t="s">
        <v>2871</v>
      </c>
      <c r="B1056">
        <v>525082</v>
      </c>
      <c r="C1056">
        <v>5737796</v>
      </c>
      <c r="D1056">
        <v>21</v>
      </c>
      <c r="E1056" t="s">
        <v>15</v>
      </c>
      <c r="F1056" t="s">
        <v>2872</v>
      </c>
      <c r="G1056">
        <v>1</v>
      </c>
      <c r="H1056" t="s">
        <v>1732</v>
      </c>
      <c r="I1056" t="s">
        <v>129</v>
      </c>
      <c r="J1056" t="s">
        <v>1733</v>
      </c>
      <c r="K1056" t="s">
        <v>20</v>
      </c>
      <c r="L1056" t="s">
        <v>2873</v>
      </c>
      <c r="M1056" s="3" t="str">
        <f>HYPERLINK("..\..\Imagery\ScannedPhotos\1993\CG93-684.jpg")</f>
        <v>..\..\Imagery\ScannedPhotos\1993\CG93-684.jpg</v>
      </c>
    </row>
    <row r="1057" spans="1:13" x14ac:dyDescent="0.25">
      <c r="A1057" t="s">
        <v>2874</v>
      </c>
      <c r="B1057">
        <v>525055</v>
      </c>
      <c r="C1057">
        <v>5738091</v>
      </c>
      <c r="D1057">
        <v>21</v>
      </c>
      <c r="E1057" t="s">
        <v>15</v>
      </c>
      <c r="F1057" t="s">
        <v>2875</v>
      </c>
      <c r="G1057">
        <v>3</v>
      </c>
      <c r="H1057" t="s">
        <v>1732</v>
      </c>
      <c r="I1057" t="s">
        <v>47</v>
      </c>
      <c r="J1057" t="s">
        <v>1733</v>
      </c>
      <c r="K1057" t="s">
        <v>20</v>
      </c>
      <c r="L1057" t="s">
        <v>2876</v>
      </c>
      <c r="M1057" s="3" t="str">
        <f>HYPERLINK("..\..\Imagery\ScannedPhotos\1993\CG93-685.3.jpg")</f>
        <v>..\..\Imagery\ScannedPhotos\1993\CG93-685.3.jpg</v>
      </c>
    </row>
    <row r="1058" spans="1:13" x14ac:dyDescent="0.25">
      <c r="A1058" t="s">
        <v>2877</v>
      </c>
      <c r="B1058">
        <v>487350</v>
      </c>
      <c r="C1058">
        <v>5845375</v>
      </c>
      <c r="D1058">
        <v>21</v>
      </c>
      <c r="E1058" t="s">
        <v>15</v>
      </c>
      <c r="F1058" t="s">
        <v>2878</v>
      </c>
      <c r="G1058">
        <v>6</v>
      </c>
      <c r="H1058" t="s">
        <v>1128</v>
      </c>
      <c r="I1058" t="s">
        <v>222</v>
      </c>
      <c r="J1058" t="s">
        <v>1129</v>
      </c>
      <c r="K1058" t="s">
        <v>20</v>
      </c>
      <c r="L1058" t="s">
        <v>2879</v>
      </c>
      <c r="M1058" s="3" t="str">
        <f>HYPERLINK("..\..\Imagery\ScannedPhotos\1991\VN91-108.2.jpg")</f>
        <v>..\..\Imagery\ScannedPhotos\1991\VN91-108.2.jpg</v>
      </c>
    </row>
    <row r="1059" spans="1:13" x14ac:dyDescent="0.25">
      <c r="A1059" t="s">
        <v>2880</v>
      </c>
      <c r="B1059">
        <v>578082</v>
      </c>
      <c r="C1059">
        <v>5838162</v>
      </c>
      <c r="D1059">
        <v>21</v>
      </c>
      <c r="E1059" t="s">
        <v>15</v>
      </c>
      <c r="F1059" t="s">
        <v>2881</v>
      </c>
      <c r="G1059">
        <v>2</v>
      </c>
      <c r="H1059" t="s">
        <v>1851</v>
      </c>
      <c r="I1059" t="s">
        <v>65</v>
      </c>
      <c r="J1059" t="s">
        <v>1852</v>
      </c>
      <c r="K1059" t="s">
        <v>20</v>
      </c>
      <c r="L1059" t="s">
        <v>2882</v>
      </c>
      <c r="M1059" s="3" t="str">
        <f>HYPERLINK("..\..\Imagery\ScannedPhotos\1986\MN86-353.1.jpg")</f>
        <v>..\..\Imagery\ScannedPhotos\1986\MN86-353.1.jpg</v>
      </c>
    </row>
    <row r="1060" spans="1:13" x14ac:dyDescent="0.25">
      <c r="A1060" t="s">
        <v>2883</v>
      </c>
      <c r="B1060">
        <v>560364</v>
      </c>
      <c r="C1060">
        <v>5826320</v>
      </c>
      <c r="D1060">
        <v>21</v>
      </c>
      <c r="E1060" t="s">
        <v>15</v>
      </c>
      <c r="F1060" t="s">
        <v>2884</v>
      </c>
      <c r="G1060">
        <v>2</v>
      </c>
      <c r="H1060" t="s">
        <v>2325</v>
      </c>
      <c r="I1060" t="s">
        <v>209</v>
      </c>
      <c r="J1060" t="s">
        <v>2019</v>
      </c>
      <c r="K1060" t="s">
        <v>20</v>
      </c>
      <c r="L1060" t="s">
        <v>322</v>
      </c>
      <c r="M1060" s="3" t="str">
        <f>HYPERLINK("..\..\Imagery\ScannedPhotos\1986\MN86-031.2.jpg")</f>
        <v>..\..\Imagery\ScannedPhotos\1986\MN86-031.2.jpg</v>
      </c>
    </row>
    <row r="1061" spans="1:13" x14ac:dyDescent="0.25">
      <c r="A1061" t="s">
        <v>2883</v>
      </c>
      <c r="B1061">
        <v>560364</v>
      </c>
      <c r="C1061">
        <v>5826320</v>
      </c>
      <c r="D1061">
        <v>21</v>
      </c>
      <c r="E1061" t="s">
        <v>15</v>
      </c>
      <c r="F1061" t="s">
        <v>2885</v>
      </c>
      <c r="G1061">
        <v>2</v>
      </c>
      <c r="H1061" t="s">
        <v>2325</v>
      </c>
      <c r="I1061" t="s">
        <v>94</v>
      </c>
      <c r="J1061" t="s">
        <v>2019</v>
      </c>
      <c r="K1061" t="s">
        <v>20</v>
      </c>
      <c r="L1061" t="s">
        <v>322</v>
      </c>
      <c r="M1061" s="3" t="str">
        <f>HYPERLINK("..\..\Imagery\ScannedPhotos\1986\MN86-031.1.jpg")</f>
        <v>..\..\Imagery\ScannedPhotos\1986\MN86-031.1.jpg</v>
      </c>
    </row>
    <row r="1062" spans="1:13" x14ac:dyDescent="0.25">
      <c r="A1062" t="s">
        <v>2886</v>
      </c>
      <c r="B1062">
        <v>538285</v>
      </c>
      <c r="C1062">
        <v>5826388</v>
      </c>
      <c r="D1062">
        <v>21</v>
      </c>
      <c r="E1062" t="s">
        <v>15</v>
      </c>
      <c r="F1062" t="s">
        <v>2887</v>
      </c>
      <c r="G1062">
        <v>1</v>
      </c>
      <c r="H1062" t="s">
        <v>2325</v>
      </c>
      <c r="I1062" t="s">
        <v>386</v>
      </c>
      <c r="J1062" t="s">
        <v>2019</v>
      </c>
      <c r="K1062" t="s">
        <v>56</v>
      </c>
      <c r="L1062" t="s">
        <v>2888</v>
      </c>
      <c r="M1062" s="3" t="str">
        <f>HYPERLINK("..\..\Imagery\ScannedPhotos\1986\MN86-033.jpg")</f>
        <v>..\..\Imagery\ScannedPhotos\1986\MN86-033.jpg</v>
      </c>
    </row>
    <row r="1063" spans="1:13" x14ac:dyDescent="0.25">
      <c r="A1063" t="s">
        <v>2889</v>
      </c>
      <c r="B1063">
        <v>538299</v>
      </c>
      <c r="C1063">
        <v>5826997</v>
      </c>
      <c r="D1063">
        <v>21</v>
      </c>
      <c r="E1063" t="s">
        <v>15</v>
      </c>
      <c r="F1063" t="s">
        <v>2890</v>
      </c>
      <c r="G1063">
        <v>2</v>
      </c>
      <c r="H1063" t="s">
        <v>2325</v>
      </c>
      <c r="I1063" t="s">
        <v>217</v>
      </c>
      <c r="J1063" t="s">
        <v>2019</v>
      </c>
      <c r="K1063" t="s">
        <v>56</v>
      </c>
      <c r="L1063" t="s">
        <v>2891</v>
      </c>
      <c r="M1063" s="3" t="str">
        <f>HYPERLINK("..\..\Imagery\ScannedPhotos\1986\MN86-035.1.jpg")</f>
        <v>..\..\Imagery\ScannedPhotos\1986\MN86-035.1.jpg</v>
      </c>
    </row>
    <row r="1064" spans="1:13" x14ac:dyDescent="0.25">
      <c r="A1064" t="s">
        <v>2889</v>
      </c>
      <c r="B1064">
        <v>538299</v>
      </c>
      <c r="C1064">
        <v>5826997</v>
      </c>
      <c r="D1064">
        <v>21</v>
      </c>
      <c r="E1064" t="s">
        <v>15</v>
      </c>
      <c r="F1064" t="s">
        <v>2892</v>
      </c>
      <c r="G1064">
        <v>2</v>
      </c>
      <c r="H1064" t="s">
        <v>2325</v>
      </c>
      <c r="I1064" t="s">
        <v>214</v>
      </c>
      <c r="J1064" t="s">
        <v>2019</v>
      </c>
      <c r="K1064" t="s">
        <v>56</v>
      </c>
      <c r="L1064" t="s">
        <v>2891</v>
      </c>
      <c r="M1064" s="3" t="str">
        <f>HYPERLINK("..\..\Imagery\ScannedPhotos\1986\MN86-035.2.jpg")</f>
        <v>..\..\Imagery\ScannedPhotos\1986\MN86-035.2.jpg</v>
      </c>
    </row>
    <row r="1065" spans="1:13" x14ac:dyDescent="0.25">
      <c r="A1065" t="s">
        <v>2893</v>
      </c>
      <c r="B1065">
        <v>476758</v>
      </c>
      <c r="C1065">
        <v>5872658</v>
      </c>
      <c r="D1065">
        <v>21</v>
      </c>
      <c r="E1065" t="s">
        <v>15</v>
      </c>
      <c r="F1065" t="s">
        <v>2894</v>
      </c>
      <c r="G1065">
        <v>2</v>
      </c>
      <c r="H1065" t="s">
        <v>2895</v>
      </c>
      <c r="I1065" t="s">
        <v>209</v>
      </c>
      <c r="J1065" t="s">
        <v>2896</v>
      </c>
      <c r="K1065" t="s">
        <v>20</v>
      </c>
      <c r="L1065" t="s">
        <v>2897</v>
      </c>
      <c r="M1065" s="3" t="str">
        <f>HYPERLINK("..\..\Imagery\ScannedPhotos\1984\CG84-342.2.jpg")</f>
        <v>..\..\Imagery\ScannedPhotos\1984\CG84-342.2.jpg</v>
      </c>
    </row>
    <row r="1066" spans="1:13" x14ac:dyDescent="0.25">
      <c r="A1066" t="s">
        <v>2898</v>
      </c>
      <c r="B1066">
        <v>458760</v>
      </c>
      <c r="C1066">
        <v>5963300</v>
      </c>
      <c r="D1066">
        <v>21</v>
      </c>
      <c r="E1066" t="s">
        <v>15</v>
      </c>
      <c r="F1066" t="s">
        <v>2899</v>
      </c>
      <c r="G1066">
        <v>3</v>
      </c>
      <c r="H1066" t="s">
        <v>1188</v>
      </c>
      <c r="I1066" t="s">
        <v>94</v>
      </c>
      <c r="J1066" t="s">
        <v>48</v>
      </c>
      <c r="K1066" t="s">
        <v>935</v>
      </c>
      <c r="L1066" t="s">
        <v>2900</v>
      </c>
      <c r="M1066" s="3" t="str">
        <f>HYPERLINK("..\..\Imagery\ScannedPhotos\1981\CG81-239.3.jpg")</f>
        <v>..\..\Imagery\ScannedPhotos\1981\CG81-239.3.jpg</v>
      </c>
    </row>
    <row r="1067" spans="1:13" x14ac:dyDescent="0.25">
      <c r="A1067" t="s">
        <v>2898</v>
      </c>
      <c r="B1067">
        <v>458760</v>
      </c>
      <c r="C1067">
        <v>5963300</v>
      </c>
      <c r="D1067">
        <v>21</v>
      </c>
      <c r="E1067" t="s">
        <v>15</v>
      </c>
      <c r="F1067" t="s">
        <v>2901</v>
      </c>
      <c r="G1067">
        <v>3</v>
      </c>
      <c r="H1067" t="s">
        <v>1188</v>
      </c>
      <c r="I1067" t="s">
        <v>375</v>
      </c>
      <c r="J1067" t="s">
        <v>48</v>
      </c>
      <c r="K1067" t="s">
        <v>935</v>
      </c>
      <c r="L1067" t="s">
        <v>2902</v>
      </c>
      <c r="M1067" s="3" t="str">
        <f>HYPERLINK("..\..\Imagery\ScannedPhotos\1981\CG81-239.2.jpg")</f>
        <v>..\..\Imagery\ScannedPhotos\1981\CG81-239.2.jpg</v>
      </c>
    </row>
    <row r="1068" spans="1:13" x14ac:dyDescent="0.25">
      <c r="A1068" t="s">
        <v>2903</v>
      </c>
      <c r="B1068">
        <v>488794</v>
      </c>
      <c r="C1068">
        <v>5945132</v>
      </c>
      <c r="D1068">
        <v>21</v>
      </c>
      <c r="E1068" t="s">
        <v>15</v>
      </c>
      <c r="F1068" t="s">
        <v>2904</v>
      </c>
      <c r="G1068">
        <v>2</v>
      </c>
      <c r="H1068" t="s">
        <v>113</v>
      </c>
      <c r="I1068" t="s">
        <v>35</v>
      </c>
      <c r="J1068" t="s">
        <v>115</v>
      </c>
      <c r="K1068" t="s">
        <v>56</v>
      </c>
      <c r="L1068" t="s">
        <v>2905</v>
      </c>
      <c r="M1068" s="3" t="str">
        <f>HYPERLINK("..\..\Imagery\ScannedPhotos\1977\MC77-036.2.jpg")</f>
        <v>..\..\Imagery\ScannedPhotos\1977\MC77-036.2.jpg</v>
      </c>
    </row>
    <row r="1069" spans="1:13" x14ac:dyDescent="0.25">
      <c r="A1069" t="s">
        <v>2124</v>
      </c>
      <c r="B1069">
        <v>491738</v>
      </c>
      <c r="C1069">
        <v>5950551</v>
      </c>
      <c r="D1069">
        <v>21</v>
      </c>
      <c r="E1069" t="s">
        <v>15</v>
      </c>
      <c r="F1069" t="s">
        <v>2906</v>
      </c>
      <c r="G1069">
        <v>3</v>
      </c>
      <c r="H1069" t="s">
        <v>113</v>
      </c>
      <c r="I1069" t="s">
        <v>41</v>
      </c>
      <c r="J1069" t="s">
        <v>115</v>
      </c>
      <c r="K1069" t="s">
        <v>20</v>
      </c>
      <c r="L1069" t="s">
        <v>2907</v>
      </c>
      <c r="M1069" s="3" t="str">
        <f>HYPERLINK("..\..\Imagery\ScannedPhotos\1977\MC77-040.3.jpg")</f>
        <v>..\..\Imagery\ScannedPhotos\1977\MC77-040.3.jpg</v>
      </c>
    </row>
    <row r="1070" spans="1:13" x14ac:dyDescent="0.25">
      <c r="A1070" t="s">
        <v>2124</v>
      </c>
      <c r="B1070">
        <v>491738</v>
      </c>
      <c r="C1070">
        <v>5950551</v>
      </c>
      <c r="D1070">
        <v>21</v>
      </c>
      <c r="E1070" t="s">
        <v>15</v>
      </c>
      <c r="F1070" t="s">
        <v>2908</v>
      </c>
      <c r="G1070">
        <v>3</v>
      </c>
      <c r="H1070" t="s">
        <v>113</v>
      </c>
      <c r="I1070" t="s">
        <v>74</v>
      </c>
      <c r="J1070" t="s">
        <v>115</v>
      </c>
      <c r="K1070" t="s">
        <v>20</v>
      </c>
      <c r="L1070" t="s">
        <v>2909</v>
      </c>
      <c r="M1070" s="3" t="str">
        <f>HYPERLINK("..\..\Imagery\ScannedPhotos\1977\MC77-040.2.jpg")</f>
        <v>..\..\Imagery\ScannedPhotos\1977\MC77-040.2.jpg</v>
      </c>
    </row>
    <row r="1071" spans="1:13" x14ac:dyDescent="0.25">
      <c r="A1071" t="s">
        <v>2910</v>
      </c>
      <c r="B1071">
        <v>485453</v>
      </c>
      <c r="C1071">
        <v>5927922</v>
      </c>
      <c r="D1071">
        <v>21</v>
      </c>
      <c r="E1071" t="s">
        <v>15</v>
      </c>
      <c r="F1071" t="s">
        <v>2911</v>
      </c>
      <c r="G1071">
        <v>4</v>
      </c>
      <c r="H1071" t="s">
        <v>2912</v>
      </c>
      <c r="I1071" t="s">
        <v>47</v>
      </c>
      <c r="J1071" t="s">
        <v>2913</v>
      </c>
      <c r="K1071" t="s">
        <v>20</v>
      </c>
      <c r="L1071" t="s">
        <v>2573</v>
      </c>
      <c r="M1071" s="3" t="str">
        <f>HYPERLINK("..\..\Imagery\ScannedPhotos\1984\VN84-268.4.jpg")</f>
        <v>..\..\Imagery\ScannedPhotos\1984\VN84-268.4.jpg</v>
      </c>
    </row>
    <row r="1072" spans="1:13" x14ac:dyDescent="0.25">
      <c r="A1072" t="s">
        <v>2914</v>
      </c>
      <c r="B1072">
        <v>565895</v>
      </c>
      <c r="C1072">
        <v>5784677</v>
      </c>
      <c r="D1072">
        <v>21</v>
      </c>
      <c r="E1072" t="s">
        <v>15</v>
      </c>
      <c r="F1072" t="s">
        <v>2915</v>
      </c>
      <c r="G1072">
        <v>1</v>
      </c>
      <c r="H1072" t="s">
        <v>2916</v>
      </c>
      <c r="I1072" t="s">
        <v>281</v>
      </c>
      <c r="J1072" t="s">
        <v>797</v>
      </c>
      <c r="K1072" t="s">
        <v>20</v>
      </c>
      <c r="L1072" t="s">
        <v>2917</v>
      </c>
      <c r="M1072" s="3" t="str">
        <f>HYPERLINK("..\..\Imagery\ScannedPhotos\1987\VN87-222.jpg")</f>
        <v>..\..\Imagery\ScannedPhotos\1987\VN87-222.jpg</v>
      </c>
    </row>
    <row r="1073" spans="1:13" x14ac:dyDescent="0.25">
      <c r="A1073" t="s">
        <v>2918</v>
      </c>
      <c r="B1073">
        <v>548001</v>
      </c>
      <c r="C1073">
        <v>5779393</v>
      </c>
      <c r="D1073">
        <v>21</v>
      </c>
      <c r="E1073" t="s">
        <v>15</v>
      </c>
      <c r="F1073" t="s">
        <v>2919</v>
      </c>
      <c r="G1073">
        <v>1</v>
      </c>
      <c r="H1073" t="s">
        <v>2916</v>
      </c>
      <c r="I1073" t="s">
        <v>137</v>
      </c>
      <c r="J1073" t="s">
        <v>797</v>
      </c>
      <c r="K1073" t="s">
        <v>56</v>
      </c>
      <c r="L1073" t="s">
        <v>2920</v>
      </c>
      <c r="M1073" s="3" t="str">
        <f>HYPERLINK("..\..\Imagery\ScannedPhotos\1987\VN87-226.jpg")</f>
        <v>..\..\Imagery\ScannedPhotos\1987\VN87-226.jpg</v>
      </c>
    </row>
    <row r="1074" spans="1:13" x14ac:dyDescent="0.25">
      <c r="A1074" t="s">
        <v>2921</v>
      </c>
      <c r="B1074">
        <v>576340</v>
      </c>
      <c r="C1074">
        <v>5761898</v>
      </c>
      <c r="D1074">
        <v>21</v>
      </c>
      <c r="E1074" t="s">
        <v>15</v>
      </c>
      <c r="F1074" t="s">
        <v>2922</v>
      </c>
      <c r="G1074">
        <v>2</v>
      </c>
      <c r="H1074" t="s">
        <v>1618</v>
      </c>
      <c r="I1074" t="s">
        <v>418</v>
      </c>
      <c r="J1074" t="s">
        <v>1619</v>
      </c>
      <c r="K1074" t="s">
        <v>20</v>
      </c>
      <c r="L1074" t="s">
        <v>2923</v>
      </c>
      <c r="M1074" s="3" t="str">
        <f>HYPERLINK("..\..\Imagery\ScannedPhotos\1987\CG87-398.2.jpg")</f>
        <v>..\..\Imagery\ScannedPhotos\1987\CG87-398.2.jpg</v>
      </c>
    </row>
    <row r="1075" spans="1:13" x14ac:dyDescent="0.25">
      <c r="A1075" t="s">
        <v>2921</v>
      </c>
      <c r="B1075">
        <v>576340</v>
      </c>
      <c r="C1075">
        <v>5761898</v>
      </c>
      <c r="D1075">
        <v>21</v>
      </c>
      <c r="E1075" t="s">
        <v>15</v>
      </c>
      <c r="F1075" t="s">
        <v>2924</v>
      </c>
      <c r="G1075">
        <v>2</v>
      </c>
      <c r="H1075" t="s">
        <v>1618</v>
      </c>
      <c r="I1075" t="s">
        <v>222</v>
      </c>
      <c r="J1075" t="s">
        <v>1619</v>
      </c>
      <c r="K1075" t="s">
        <v>20</v>
      </c>
      <c r="L1075" t="s">
        <v>2923</v>
      </c>
      <c r="M1075" s="3" t="str">
        <f>HYPERLINK("..\..\Imagery\ScannedPhotos\1987\CG87-398.1.jpg")</f>
        <v>..\..\Imagery\ScannedPhotos\1987\CG87-398.1.jpg</v>
      </c>
    </row>
    <row r="1076" spans="1:13" x14ac:dyDescent="0.25">
      <c r="A1076" t="s">
        <v>2925</v>
      </c>
      <c r="B1076">
        <v>576500</v>
      </c>
      <c r="C1076">
        <v>5763045</v>
      </c>
      <c r="D1076">
        <v>21</v>
      </c>
      <c r="E1076" t="s">
        <v>15</v>
      </c>
      <c r="F1076" t="s">
        <v>2926</v>
      </c>
      <c r="G1076">
        <v>1</v>
      </c>
      <c r="H1076" t="s">
        <v>1618</v>
      </c>
      <c r="I1076" t="s">
        <v>195</v>
      </c>
      <c r="J1076" t="s">
        <v>1619</v>
      </c>
      <c r="K1076" t="s">
        <v>20</v>
      </c>
      <c r="L1076" t="s">
        <v>2927</v>
      </c>
      <c r="M1076" s="3" t="str">
        <f>HYPERLINK("..\..\Imagery\ScannedPhotos\1987\CG87-403.jpg")</f>
        <v>..\..\Imagery\ScannedPhotos\1987\CG87-403.jpg</v>
      </c>
    </row>
    <row r="1077" spans="1:13" x14ac:dyDescent="0.25">
      <c r="A1077" t="s">
        <v>2928</v>
      </c>
      <c r="B1077">
        <v>577190</v>
      </c>
      <c r="C1077">
        <v>5762592</v>
      </c>
      <c r="D1077">
        <v>21</v>
      </c>
      <c r="E1077" t="s">
        <v>15</v>
      </c>
      <c r="F1077" t="s">
        <v>2929</v>
      </c>
      <c r="G1077">
        <v>3</v>
      </c>
      <c r="H1077" t="s">
        <v>1618</v>
      </c>
      <c r="I1077" t="s">
        <v>25</v>
      </c>
      <c r="J1077" t="s">
        <v>1619</v>
      </c>
      <c r="K1077" t="s">
        <v>20</v>
      </c>
      <c r="L1077" t="s">
        <v>2930</v>
      </c>
      <c r="M1077" s="3" t="str">
        <f>HYPERLINK("..\..\Imagery\ScannedPhotos\1987\CG87-406.3.jpg")</f>
        <v>..\..\Imagery\ScannedPhotos\1987\CG87-406.3.jpg</v>
      </c>
    </row>
    <row r="1078" spans="1:13" x14ac:dyDescent="0.25">
      <c r="A1078" t="s">
        <v>2928</v>
      </c>
      <c r="B1078">
        <v>577190</v>
      </c>
      <c r="C1078">
        <v>5762592</v>
      </c>
      <c r="D1078">
        <v>21</v>
      </c>
      <c r="E1078" t="s">
        <v>15</v>
      </c>
      <c r="F1078" t="s">
        <v>2931</v>
      </c>
      <c r="G1078">
        <v>3</v>
      </c>
      <c r="H1078" t="s">
        <v>1618</v>
      </c>
      <c r="I1078" t="s">
        <v>647</v>
      </c>
      <c r="J1078" t="s">
        <v>1619</v>
      </c>
      <c r="K1078" t="s">
        <v>20</v>
      </c>
      <c r="L1078" t="s">
        <v>2932</v>
      </c>
      <c r="M1078" s="3" t="str">
        <f>HYPERLINK("..\..\Imagery\ScannedPhotos\1987\CG87-406.2.jpg")</f>
        <v>..\..\Imagery\ScannedPhotos\1987\CG87-406.2.jpg</v>
      </c>
    </row>
    <row r="1079" spans="1:13" x14ac:dyDescent="0.25">
      <c r="A1079" t="s">
        <v>2928</v>
      </c>
      <c r="B1079">
        <v>577190</v>
      </c>
      <c r="C1079">
        <v>5762592</v>
      </c>
      <c r="D1079">
        <v>21</v>
      </c>
      <c r="E1079" t="s">
        <v>15</v>
      </c>
      <c r="F1079" t="s">
        <v>2933</v>
      </c>
      <c r="G1079">
        <v>3</v>
      </c>
      <c r="H1079" t="s">
        <v>1618</v>
      </c>
      <c r="I1079" t="s">
        <v>360</v>
      </c>
      <c r="J1079" t="s">
        <v>1619</v>
      </c>
      <c r="K1079" t="s">
        <v>20</v>
      </c>
      <c r="L1079" t="s">
        <v>2932</v>
      </c>
      <c r="M1079" s="3" t="str">
        <f>HYPERLINK("..\..\Imagery\ScannedPhotos\1987\CG87-406.1.jpg")</f>
        <v>..\..\Imagery\ScannedPhotos\1987\CG87-406.1.jpg</v>
      </c>
    </row>
    <row r="1080" spans="1:13" x14ac:dyDescent="0.25">
      <c r="A1080" t="s">
        <v>2934</v>
      </c>
      <c r="B1080">
        <v>577510</v>
      </c>
      <c r="C1080">
        <v>5761989</v>
      </c>
      <c r="D1080">
        <v>21</v>
      </c>
      <c r="E1080" t="s">
        <v>15</v>
      </c>
      <c r="F1080" t="s">
        <v>2935</v>
      </c>
      <c r="G1080">
        <v>1</v>
      </c>
      <c r="H1080" t="s">
        <v>1618</v>
      </c>
      <c r="I1080" t="s">
        <v>30</v>
      </c>
      <c r="J1080" t="s">
        <v>1619</v>
      </c>
      <c r="K1080" t="s">
        <v>20</v>
      </c>
      <c r="L1080" t="s">
        <v>2936</v>
      </c>
      <c r="M1080" s="3" t="str">
        <f>HYPERLINK("..\..\Imagery\ScannedPhotos\1987\CG87-409.jpg")</f>
        <v>..\..\Imagery\ScannedPhotos\1987\CG87-409.jpg</v>
      </c>
    </row>
    <row r="1081" spans="1:13" x14ac:dyDescent="0.25">
      <c r="A1081" t="s">
        <v>2937</v>
      </c>
      <c r="B1081">
        <v>578040</v>
      </c>
      <c r="C1081">
        <v>5762097</v>
      </c>
      <c r="D1081">
        <v>21</v>
      </c>
      <c r="E1081" t="s">
        <v>15</v>
      </c>
      <c r="F1081" t="s">
        <v>2938</v>
      </c>
      <c r="G1081">
        <v>1</v>
      </c>
      <c r="H1081" t="s">
        <v>1618</v>
      </c>
      <c r="I1081" t="s">
        <v>119</v>
      </c>
      <c r="J1081" t="s">
        <v>1619</v>
      </c>
      <c r="K1081" t="s">
        <v>20</v>
      </c>
      <c r="L1081" t="s">
        <v>2939</v>
      </c>
      <c r="M1081" s="3" t="str">
        <f>HYPERLINK("..\..\Imagery\ScannedPhotos\1987\CG87-411.jpg")</f>
        <v>..\..\Imagery\ScannedPhotos\1987\CG87-411.jpg</v>
      </c>
    </row>
    <row r="1082" spans="1:13" x14ac:dyDescent="0.25">
      <c r="A1082" t="s">
        <v>2940</v>
      </c>
      <c r="B1082">
        <v>468168</v>
      </c>
      <c r="C1082">
        <v>5908316</v>
      </c>
      <c r="D1082">
        <v>21</v>
      </c>
      <c r="E1082" t="s">
        <v>15</v>
      </c>
      <c r="F1082" t="s">
        <v>2941</v>
      </c>
      <c r="G1082">
        <v>3</v>
      </c>
      <c r="K1082" t="s">
        <v>20</v>
      </c>
      <c r="L1082" t="s">
        <v>2942</v>
      </c>
      <c r="M1082" s="3" t="str">
        <f>HYPERLINK("..\..\Imagery\ScannedPhotos\2004\CG04-217.2.jpg")</f>
        <v>..\..\Imagery\ScannedPhotos\2004\CG04-217.2.jpg</v>
      </c>
    </row>
    <row r="1083" spans="1:13" x14ac:dyDescent="0.25">
      <c r="A1083" t="s">
        <v>2943</v>
      </c>
      <c r="B1083">
        <v>573500</v>
      </c>
      <c r="C1083">
        <v>5854767</v>
      </c>
      <c r="D1083">
        <v>21</v>
      </c>
      <c r="E1083" t="s">
        <v>15</v>
      </c>
      <c r="F1083" t="s">
        <v>2944</v>
      </c>
      <c r="G1083">
        <v>2</v>
      </c>
      <c r="H1083" t="s">
        <v>2945</v>
      </c>
      <c r="I1083" t="s">
        <v>85</v>
      </c>
      <c r="J1083" t="s">
        <v>300</v>
      </c>
      <c r="K1083" t="s">
        <v>56</v>
      </c>
      <c r="L1083" t="s">
        <v>2946</v>
      </c>
      <c r="M1083" s="3" t="str">
        <f>HYPERLINK("..\..\Imagery\ScannedPhotos\1986\CG86-503.1.jpg")</f>
        <v>..\..\Imagery\ScannedPhotos\1986\CG86-503.1.jpg</v>
      </c>
    </row>
    <row r="1084" spans="1:13" x14ac:dyDescent="0.25">
      <c r="A1084" t="s">
        <v>2947</v>
      </c>
      <c r="B1084">
        <v>573433</v>
      </c>
      <c r="C1084">
        <v>5854571</v>
      </c>
      <c r="D1084">
        <v>21</v>
      </c>
      <c r="E1084" t="s">
        <v>15</v>
      </c>
      <c r="F1084" t="s">
        <v>2948</v>
      </c>
      <c r="G1084">
        <v>2</v>
      </c>
      <c r="H1084" t="s">
        <v>2945</v>
      </c>
      <c r="I1084" t="s">
        <v>94</v>
      </c>
      <c r="J1084" t="s">
        <v>300</v>
      </c>
      <c r="K1084" t="s">
        <v>20</v>
      </c>
      <c r="L1084" t="s">
        <v>2949</v>
      </c>
      <c r="M1084" s="3" t="str">
        <f>HYPERLINK("..\..\Imagery\ScannedPhotos\1986\CG86-504.1.jpg")</f>
        <v>..\..\Imagery\ScannedPhotos\1986\CG86-504.1.jpg</v>
      </c>
    </row>
    <row r="1085" spans="1:13" x14ac:dyDescent="0.25">
      <c r="A1085" t="s">
        <v>2950</v>
      </c>
      <c r="B1085">
        <v>573381</v>
      </c>
      <c r="C1085">
        <v>5853931</v>
      </c>
      <c r="D1085">
        <v>21</v>
      </c>
      <c r="E1085" t="s">
        <v>15</v>
      </c>
      <c r="F1085" t="s">
        <v>2951</v>
      </c>
      <c r="G1085">
        <v>1</v>
      </c>
      <c r="H1085" t="s">
        <v>2945</v>
      </c>
      <c r="I1085" t="s">
        <v>386</v>
      </c>
      <c r="J1085" t="s">
        <v>300</v>
      </c>
      <c r="K1085" t="s">
        <v>20</v>
      </c>
      <c r="L1085" t="s">
        <v>2952</v>
      </c>
      <c r="M1085" s="3" t="str">
        <f>HYPERLINK("..\..\Imagery\ScannedPhotos\1986\CG86-505.jpg")</f>
        <v>..\..\Imagery\ScannedPhotos\1986\CG86-505.jpg</v>
      </c>
    </row>
    <row r="1086" spans="1:13" x14ac:dyDescent="0.25">
      <c r="A1086" t="s">
        <v>2953</v>
      </c>
      <c r="B1086">
        <v>572126</v>
      </c>
      <c r="C1086">
        <v>5852669</v>
      </c>
      <c r="D1086">
        <v>21</v>
      </c>
      <c r="E1086" t="s">
        <v>15</v>
      </c>
      <c r="F1086" t="s">
        <v>2954</v>
      </c>
      <c r="G1086">
        <v>1</v>
      </c>
      <c r="H1086" t="s">
        <v>2945</v>
      </c>
      <c r="I1086" t="s">
        <v>304</v>
      </c>
      <c r="J1086" t="s">
        <v>300</v>
      </c>
      <c r="K1086" t="s">
        <v>20</v>
      </c>
      <c r="L1086" t="s">
        <v>2955</v>
      </c>
      <c r="M1086" s="3" t="str">
        <f>HYPERLINK("..\..\Imagery\ScannedPhotos\1986\CG86-510.jpg")</f>
        <v>..\..\Imagery\ScannedPhotos\1986\CG86-510.jpg</v>
      </c>
    </row>
    <row r="1087" spans="1:13" x14ac:dyDescent="0.25">
      <c r="A1087" t="s">
        <v>2956</v>
      </c>
      <c r="B1087">
        <v>570534</v>
      </c>
      <c r="C1087">
        <v>5853025</v>
      </c>
      <c r="D1087">
        <v>21</v>
      </c>
      <c r="E1087" t="s">
        <v>15</v>
      </c>
      <c r="F1087" t="s">
        <v>2957</v>
      </c>
      <c r="G1087">
        <v>1</v>
      </c>
      <c r="H1087" t="s">
        <v>2945</v>
      </c>
      <c r="I1087" t="s">
        <v>195</v>
      </c>
      <c r="J1087" t="s">
        <v>300</v>
      </c>
      <c r="K1087" t="s">
        <v>20</v>
      </c>
      <c r="L1087" t="s">
        <v>2958</v>
      </c>
      <c r="M1087" s="3" t="str">
        <f>HYPERLINK("..\..\Imagery\ScannedPhotos\1986\CG86-512.jpg")</f>
        <v>..\..\Imagery\ScannedPhotos\1986\CG86-512.jpg</v>
      </c>
    </row>
    <row r="1088" spans="1:13" x14ac:dyDescent="0.25">
      <c r="A1088" t="s">
        <v>2959</v>
      </c>
      <c r="B1088">
        <v>473600</v>
      </c>
      <c r="C1088">
        <v>5782200</v>
      </c>
      <c r="D1088">
        <v>21</v>
      </c>
      <c r="E1088" t="s">
        <v>15</v>
      </c>
      <c r="F1088" t="s">
        <v>2960</v>
      </c>
      <c r="G1088">
        <v>1</v>
      </c>
      <c r="H1088" t="s">
        <v>904</v>
      </c>
      <c r="I1088" t="s">
        <v>294</v>
      </c>
      <c r="J1088" t="s">
        <v>905</v>
      </c>
      <c r="K1088" t="s">
        <v>56</v>
      </c>
      <c r="L1088" t="s">
        <v>2961</v>
      </c>
      <c r="M1088" s="3" t="str">
        <f>HYPERLINK("..\..\Imagery\ScannedPhotos\1992\VN92-199.jpg")</f>
        <v>..\..\Imagery\ScannedPhotos\1992\VN92-199.jpg</v>
      </c>
    </row>
    <row r="1089" spans="1:13" x14ac:dyDescent="0.25">
      <c r="A1089" t="s">
        <v>2962</v>
      </c>
      <c r="B1089">
        <v>425643</v>
      </c>
      <c r="C1089">
        <v>6009646</v>
      </c>
      <c r="D1089">
        <v>21</v>
      </c>
      <c r="E1089" t="s">
        <v>15</v>
      </c>
      <c r="F1089" t="s">
        <v>2963</v>
      </c>
      <c r="G1089">
        <v>1</v>
      </c>
      <c r="H1089" t="s">
        <v>758</v>
      </c>
      <c r="I1089" t="s">
        <v>375</v>
      </c>
      <c r="J1089" t="s">
        <v>759</v>
      </c>
      <c r="K1089" t="s">
        <v>20</v>
      </c>
      <c r="L1089" t="s">
        <v>2964</v>
      </c>
      <c r="M1089" s="3" t="str">
        <f>HYPERLINK("..\..\Imagery\ScannedPhotos\1980\RG80-053.jpg")</f>
        <v>..\..\Imagery\ScannedPhotos\1980\RG80-053.jpg</v>
      </c>
    </row>
    <row r="1090" spans="1:13" x14ac:dyDescent="0.25">
      <c r="A1090" t="s">
        <v>2965</v>
      </c>
      <c r="B1090">
        <v>420885</v>
      </c>
      <c r="C1090">
        <v>6009187</v>
      </c>
      <c r="D1090">
        <v>21</v>
      </c>
      <c r="E1090" t="s">
        <v>15</v>
      </c>
      <c r="F1090" t="s">
        <v>2966</v>
      </c>
      <c r="G1090">
        <v>5</v>
      </c>
      <c r="H1090" t="s">
        <v>2967</v>
      </c>
      <c r="I1090" t="s">
        <v>418</v>
      </c>
      <c r="J1090" t="s">
        <v>2968</v>
      </c>
      <c r="K1090" t="s">
        <v>20</v>
      </c>
      <c r="L1090" t="s">
        <v>2969</v>
      </c>
      <c r="M1090" s="3" t="str">
        <f>HYPERLINK("..\..\Imagery\ScannedPhotos\1980\RG80-104.3.jpg")</f>
        <v>..\..\Imagery\ScannedPhotos\1980\RG80-104.3.jpg</v>
      </c>
    </row>
    <row r="1091" spans="1:13" x14ac:dyDescent="0.25">
      <c r="A1091" t="s">
        <v>2970</v>
      </c>
      <c r="B1091">
        <v>448895</v>
      </c>
      <c r="C1091">
        <v>5767200</v>
      </c>
      <c r="D1091">
        <v>21</v>
      </c>
      <c r="E1091" t="s">
        <v>15</v>
      </c>
      <c r="F1091" t="s">
        <v>2971</v>
      </c>
      <c r="G1091">
        <v>1</v>
      </c>
      <c r="H1091" t="s">
        <v>904</v>
      </c>
      <c r="I1091" t="s">
        <v>47</v>
      </c>
      <c r="J1091" t="s">
        <v>905</v>
      </c>
      <c r="K1091" t="s">
        <v>56</v>
      </c>
      <c r="L1091" t="s">
        <v>2972</v>
      </c>
      <c r="M1091" s="3" t="str">
        <f>HYPERLINK("..\..\Imagery\ScannedPhotos\1992\VN92-236.jpg")</f>
        <v>..\..\Imagery\ScannedPhotos\1992\VN92-236.jpg</v>
      </c>
    </row>
    <row r="1092" spans="1:13" x14ac:dyDescent="0.25">
      <c r="A1092" t="s">
        <v>2973</v>
      </c>
      <c r="B1092">
        <v>596714</v>
      </c>
      <c r="C1092">
        <v>5792483</v>
      </c>
      <c r="D1092">
        <v>21</v>
      </c>
      <c r="E1092" t="s">
        <v>15</v>
      </c>
      <c r="F1092" t="s">
        <v>2974</v>
      </c>
      <c r="G1092">
        <v>2</v>
      </c>
      <c r="K1092" t="s">
        <v>228</v>
      </c>
      <c r="L1092" t="s">
        <v>2975</v>
      </c>
      <c r="M1092" s="3" t="str">
        <f>HYPERLINK("..\..\Imagery\ScannedPhotos\2007\CG07-171.1.jpg")</f>
        <v>..\..\Imagery\ScannedPhotos\2007\CG07-171.1.jpg</v>
      </c>
    </row>
    <row r="1093" spans="1:13" x14ac:dyDescent="0.25">
      <c r="A1093" t="s">
        <v>2973</v>
      </c>
      <c r="B1093">
        <v>596714</v>
      </c>
      <c r="C1093">
        <v>5792483</v>
      </c>
      <c r="D1093">
        <v>21</v>
      </c>
      <c r="E1093" t="s">
        <v>15</v>
      </c>
      <c r="F1093" t="s">
        <v>2976</v>
      </c>
      <c r="G1093">
        <v>2</v>
      </c>
      <c r="K1093" t="s">
        <v>228</v>
      </c>
      <c r="L1093" t="s">
        <v>2975</v>
      </c>
      <c r="M1093" s="3" t="str">
        <f>HYPERLINK("..\..\Imagery\ScannedPhotos\2007\CG07-171.2.jpg")</f>
        <v>..\..\Imagery\ScannedPhotos\2007\CG07-171.2.jpg</v>
      </c>
    </row>
    <row r="1094" spans="1:13" x14ac:dyDescent="0.25">
      <c r="A1094" t="s">
        <v>2977</v>
      </c>
      <c r="B1094">
        <v>596731</v>
      </c>
      <c r="C1094">
        <v>5792348</v>
      </c>
      <c r="D1094">
        <v>21</v>
      </c>
      <c r="E1094" t="s">
        <v>15</v>
      </c>
      <c r="F1094" t="s">
        <v>2978</v>
      </c>
      <c r="G1094">
        <v>3</v>
      </c>
      <c r="K1094" t="s">
        <v>20</v>
      </c>
      <c r="L1094" t="s">
        <v>2979</v>
      </c>
      <c r="M1094" s="3" t="str">
        <f>HYPERLINK("..\..\Imagery\ScannedPhotos\2007\CG07-172.1.jpg")</f>
        <v>..\..\Imagery\ScannedPhotos\2007\CG07-172.1.jpg</v>
      </c>
    </row>
    <row r="1095" spans="1:13" x14ac:dyDescent="0.25">
      <c r="A1095" t="s">
        <v>2977</v>
      </c>
      <c r="B1095">
        <v>596731</v>
      </c>
      <c r="C1095">
        <v>5792348</v>
      </c>
      <c r="D1095">
        <v>21</v>
      </c>
      <c r="E1095" t="s">
        <v>15</v>
      </c>
      <c r="F1095" t="s">
        <v>2980</v>
      </c>
      <c r="G1095">
        <v>3</v>
      </c>
      <c r="K1095" t="s">
        <v>20</v>
      </c>
      <c r="L1095" t="s">
        <v>2981</v>
      </c>
      <c r="M1095" s="3" t="str">
        <f>HYPERLINK("..\..\Imagery\ScannedPhotos\2007\CG07-172.2.jpg")</f>
        <v>..\..\Imagery\ScannedPhotos\2007\CG07-172.2.jpg</v>
      </c>
    </row>
    <row r="1096" spans="1:13" x14ac:dyDescent="0.25">
      <c r="A1096" t="s">
        <v>2982</v>
      </c>
      <c r="B1096">
        <v>582509</v>
      </c>
      <c r="C1096">
        <v>5788366</v>
      </c>
      <c r="D1096">
        <v>21</v>
      </c>
      <c r="E1096" t="s">
        <v>15</v>
      </c>
      <c r="F1096" t="s">
        <v>2983</v>
      </c>
      <c r="G1096">
        <v>2</v>
      </c>
      <c r="H1096" t="s">
        <v>2984</v>
      </c>
      <c r="I1096" t="s">
        <v>386</v>
      </c>
      <c r="J1096" t="s">
        <v>19</v>
      </c>
      <c r="K1096" t="s">
        <v>20</v>
      </c>
      <c r="L1096" t="s">
        <v>2985</v>
      </c>
      <c r="M1096" s="3" t="str">
        <f>HYPERLINK("..\..\Imagery\ScannedPhotos\1987\CG87-459.1.jpg")</f>
        <v>..\..\Imagery\ScannedPhotos\1987\CG87-459.1.jpg</v>
      </c>
    </row>
    <row r="1097" spans="1:13" x14ac:dyDescent="0.25">
      <c r="A1097" t="s">
        <v>2982</v>
      </c>
      <c r="B1097">
        <v>582509</v>
      </c>
      <c r="C1097">
        <v>5788366</v>
      </c>
      <c r="D1097">
        <v>21</v>
      </c>
      <c r="E1097" t="s">
        <v>15</v>
      </c>
      <c r="F1097" t="s">
        <v>2986</v>
      </c>
      <c r="G1097">
        <v>2</v>
      </c>
      <c r="H1097" t="s">
        <v>2984</v>
      </c>
      <c r="I1097" t="s">
        <v>217</v>
      </c>
      <c r="J1097" t="s">
        <v>19</v>
      </c>
      <c r="K1097" t="s">
        <v>20</v>
      </c>
      <c r="L1097" t="s">
        <v>2987</v>
      </c>
      <c r="M1097" s="3" t="str">
        <f>HYPERLINK("..\..\Imagery\ScannedPhotos\1987\CG87-459.2.jpg")</f>
        <v>..\..\Imagery\ScannedPhotos\1987\CG87-459.2.jpg</v>
      </c>
    </row>
    <row r="1098" spans="1:13" x14ac:dyDescent="0.25">
      <c r="A1098" t="s">
        <v>2988</v>
      </c>
      <c r="B1098">
        <v>583666</v>
      </c>
      <c r="C1098">
        <v>5789085</v>
      </c>
      <c r="D1098">
        <v>21</v>
      </c>
      <c r="E1098" t="s">
        <v>15</v>
      </c>
      <c r="F1098" t="s">
        <v>2989</v>
      </c>
      <c r="G1098">
        <v>3</v>
      </c>
      <c r="H1098" t="s">
        <v>1107</v>
      </c>
      <c r="I1098" t="s">
        <v>222</v>
      </c>
      <c r="J1098" t="s">
        <v>747</v>
      </c>
      <c r="K1098" t="s">
        <v>20</v>
      </c>
      <c r="L1098" t="s">
        <v>2990</v>
      </c>
      <c r="M1098" s="3" t="str">
        <f>HYPERLINK("..\..\Imagery\ScannedPhotos\1987\CG87-461.3.jpg")</f>
        <v>..\..\Imagery\ScannedPhotos\1987\CG87-461.3.jpg</v>
      </c>
    </row>
    <row r="1099" spans="1:13" x14ac:dyDescent="0.25">
      <c r="A1099" t="s">
        <v>2988</v>
      </c>
      <c r="B1099">
        <v>583666</v>
      </c>
      <c r="C1099">
        <v>5789085</v>
      </c>
      <c r="D1099">
        <v>21</v>
      </c>
      <c r="E1099" t="s">
        <v>15</v>
      </c>
      <c r="F1099" t="s">
        <v>2991</v>
      </c>
      <c r="G1099">
        <v>3</v>
      </c>
      <c r="H1099" t="s">
        <v>1107</v>
      </c>
      <c r="I1099" t="s">
        <v>217</v>
      </c>
      <c r="J1099" t="s">
        <v>747</v>
      </c>
      <c r="K1099" t="s">
        <v>20</v>
      </c>
      <c r="L1099" t="s">
        <v>2992</v>
      </c>
      <c r="M1099" s="3" t="str">
        <f>HYPERLINK("..\..\Imagery\ScannedPhotos\1987\CG87-461.1.jpg")</f>
        <v>..\..\Imagery\ScannedPhotos\1987\CG87-461.1.jpg</v>
      </c>
    </row>
    <row r="1100" spans="1:13" x14ac:dyDescent="0.25">
      <c r="A1100" t="s">
        <v>2993</v>
      </c>
      <c r="B1100">
        <v>484520</v>
      </c>
      <c r="C1100">
        <v>5919926</v>
      </c>
      <c r="D1100">
        <v>21</v>
      </c>
      <c r="E1100" t="s">
        <v>15</v>
      </c>
      <c r="F1100" t="s">
        <v>2994</v>
      </c>
      <c r="G1100">
        <v>1</v>
      </c>
      <c r="H1100" t="s">
        <v>2995</v>
      </c>
      <c r="I1100" t="s">
        <v>25</v>
      </c>
      <c r="J1100" t="s">
        <v>156</v>
      </c>
      <c r="K1100" t="s">
        <v>56</v>
      </c>
      <c r="L1100" t="s">
        <v>2996</v>
      </c>
      <c r="M1100" s="3" t="str">
        <f>HYPERLINK("..\..\Imagery\ScannedPhotos\1984\VN84-036.jpg")</f>
        <v>..\..\Imagery\ScannedPhotos\1984\VN84-036.jpg</v>
      </c>
    </row>
    <row r="1101" spans="1:13" x14ac:dyDescent="0.25">
      <c r="A1101" t="s">
        <v>2997</v>
      </c>
      <c r="B1101">
        <v>481963</v>
      </c>
      <c r="C1101">
        <v>5925020</v>
      </c>
      <c r="D1101">
        <v>21</v>
      </c>
      <c r="E1101" t="s">
        <v>15</v>
      </c>
      <c r="F1101" t="s">
        <v>2998</v>
      </c>
      <c r="G1101">
        <v>1</v>
      </c>
      <c r="H1101" t="s">
        <v>2995</v>
      </c>
      <c r="I1101" t="s">
        <v>647</v>
      </c>
      <c r="J1101" t="s">
        <v>156</v>
      </c>
      <c r="K1101" t="s">
        <v>20</v>
      </c>
      <c r="L1101" t="s">
        <v>2999</v>
      </c>
      <c r="M1101" s="3" t="str">
        <f>HYPERLINK("..\..\Imagery\ScannedPhotos\1984\VN84-043.jpg")</f>
        <v>..\..\Imagery\ScannedPhotos\1984\VN84-043.jpg</v>
      </c>
    </row>
    <row r="1102" spans="1:13" x14ac:dyDescent="0.25">
      <c r="A1102" t="s">
        <v>3000</v>
      </c>
      <c r="B1102">
        <v>482697</v>
      </c>
      <c r="C1102">
        <v>5926082</v>
      </c>
      <c r="D1102">
        <v>21</v>
      </c>
      <c r="E1102" t="s">
        <v>15</v>
      </c>
      <c r="F1102" t="s">
        <v>3001</v>
      </c>
      <c r="G1102">
        <v>1</v>
      </c>
      <c r="H1102" t="s">
        <v>2995</v>
      </c>
      <c r="I1102" t="s">
        <v>30</v>
      </c>
      <c r="J1102" t="s">
        <v>156</v>
      </c>
      <c r="K1102" t="s">
        <v>20</v>
      </c>
      <c r="L1102" t="s">
        <v>2573</v>
      </c>
      <c r="M1102" s="3" t="str">
        <f>HYPERLINK("..\..\Imagery\ScannedPhotos\1984\VN84-048.jpg")</f>
        <v>..\..\Imagery\ScannedPhotos\1984\VN84-048.jpg</v>
      </c>
    </row>
    <row r="1103" spans="1:13" x14ac:dyDescent="0.25">
      <c r="A1103" t="s">
        <v>3002</v>
      </c>
      <c r="B1103">
        <v>483941</v>
      </c>
      <c r="C1103">
        <v>5926922</v>
      </c>
      <c r="D1103">
        <v>21</v>
      </c>
      <c r="E1103" t="s">
        <v>15</v>
      </c>
      <c r="F1103" t="s">
        <v>3003</v>
      </c>
      <c r="G1103">
        <v>2</v>
      </c>
      <c r="H1103" t="s">
        <v>2995</v>
      </c>
      <c r="I1103" t="s">
        <v>122</v>
      </c>
      <c r="J1103" t="s">
        <v>156</v>
      </c>
      <c r="K1103" t="s">
        <v>20</v>
      </c>
      <c r="L1103" t="s">
        <v>3004</v>
      </c>
      <c r="M1103" s="3" t="str">
        <f>HYPERLINK("..\..\Imagery\ScannedPhotos\1984\VN84-053.2.jpg")</f>
        <v>..\..\Imagery\ScannedPhotos\1984\VN84-053.2.jpg</v>
      </c>
    </row>
    <row r="1104" spans="1:13" x14ac:dyDescent="0.25">
      <c r="A1104" t="s">
        <v>3005</v>
      </c>
      <c r="B1104">
        <v>410078</v>
      </c>
      <c r="C1104">
        <v>5994870</v>
      </c>
      <c r="D1104">
        <v>21</v>
      </c>
      <c r="E1104" t="s">
        <v>15</v>
      </c>
      <c r="F1104" t="s">
        <v>3006</v>
      </c>
      <c r="G1104">
        <v>2</v>
      </c>
      <c r="H1104" t="s">
        <v>1156</v>
      </c>
      <c r="I1104" t="s">
        <v>143</v>
      </c>
      <c r="J1104" t="s">
        <v>95</v>
      </c>
      <c r="K1104" t="s">
        <v>20</v>
      </c>
      <c r="L1104" t="s">
        <v>3007</v>
      </c>
      <c r="M1104" s="3" t="str">
        <f>HYPERLINK("..\..\Imagery\ScannedPhotos\1980\CG80-155.1.jpg")</f>
        <v>..\..\Imagery\ScannedPhotos\1980\CG80-155.1.jpg</v>
      </c>
    </row>
    <row r="1105" spans="1:13" x14ac:dyDescent="0.25">
      <c r="A1105" t="s">
        <v>3008</v>
      </c>
      <c r="B1105">
        <v>568290</v>
      </c>
      <c r="C1105">
        <v>5750300</v>
      </c>
      <c r="D1105">
        <v>21</v>
      </c>
      <c r="E1105" t="s">
        <v>15</v>
      </c>
      <c r="F1105" t="s">
        <v>3009</v>
      </c>
      <c r="G1105">
        <v>1</v>
      </c>
      <c r="H1105" t="s">
        <v>1732</v>
      </c>
      <c r="I1105" t="s">
        <v>79</v>
      </c>
      <c r="J1105" t="s">
        <v>1733</v>
      </c>
      <c r="K1105" t="s">
        <v>20</v>
      </c>
      <c r="L1105" t="s">
        <v>3010</v>
      </c>
      <c r="M1105" s="3" t="str">
        <f>HYPERLINK("..\..\Imagery\ScannedPhotos\1993\CG93-460.jpg")</f>
        <v>..\..\Imagery\ScannedPhotos\1993\CG93-460.jpg</v>
      </c>
    </row>
    <row r="1106" spans="1:13" x14ac:dyDescent="0.25">
      <c r="A1106" t="s">
        <v>3011</v>
      </c>
      <c r="B1106">
        <v>415731</v>
      </c>
      <c r="C1106">
        <v>5994114</v>
      </c>
      <c r="D1106">
        <v>21</v>
      </c>
      <c r="E1106" t="s">
        <v>15</v>
      </c>
      <c r="F1106" t="s">
        <v>3012</v>
      </c>
      <c r="G1106">
        <v>1</v>
      </c>
      <c r="H1106" t="s">
        <v>758</v>
      </c>
      <c r="I1106" t="s">
        <v>401</v>
      </c>
      <c r="J1106" t="s">
        <v>759</v>
      </c>
      <c r="K1106" t="s">
        <v>20</v>
      </c>
      <c r="L1106" t="s">
        <v>3013</v>
      </c>
      <c r="M1106" s="3" t="str">
        <f>HYPERLINK("..\..\Imagery\ScannedPhotos\1980\RG80-077.jpg")</f>
        <v>..\..\Imagery\ScannedPhotos\1980\RG80-077.jpg</v>
      </c>
    </row>
    <row r="1107" spans="1:13" x14ac:dyDescent="0.25">
      <c r="A1107" t="s">
        <v>3014</v>
      </c>
      <c r="B1107">
        <v>572312</v>
      </c>
      <c r="C1107">
        <v>5802154</v>
      </c>
      <c r="D1107">
        <v>21</v>
      </c>
      <c r="E1107" t="s">
        <v>15</v>
      </c>
      <c r="F1107" t="s">
        <v>3015</v>
      </c>
      <c r="G1107">
        <v>1</v>
      </c>
      <c r="H1107" t="s">
        <v>3016</v>
      </c>
      <c r="I1107" t="s">
        <v>386</v>
      </c>
      <c r="J1107" t="s">
        <v>1651</v>
      </c>
      <c r="K1107" t="s">
        <v>20</v>
      </c>
      <c r="L1107" t="s">
        <v>3017</v>
      </c>
      <c r="M1107" s="3" t="str">
        <f>HYPERLINK("..\..\Imagery\ScannedPhotos\1987\XX87-043.jpg")</f>
        <v>..\..\Imagery\ScannedPhotos\1987\XX87-043.jpg</v>
      </c>
    </row>
    <row r="1108" spans="1:13" x14ac:dyDescent="0.25">
      <c r="A1108" t="s">
        <v>2751</v>
      </c>
      <c r="B1108">
        <v>329164</v>
      </c>
      <c r="C1108">
        <v>6010909</v>
      </c>
      <c r="D1108">
        <v>21</v>
      </c>
      <c r="E1108" t="s">
        <v>15</v>
      </c>
      <c r="F1108" t="s">
        <v>3018</v>
      </c>
      <c r="G1108">
        <v>5</v>
      </c>
      <c r="H1108" t="s">
        <v>2431</v>
      </c>
      <c r="I1108" t="s">
        <v>401</v>
      </c>
      <c r="J1108" t="s">
        <v>269</v>
      </c>
      <c r="K1108" t="s">
        <v>56</v>
      </c>
      <c r="L1108" t="s">
        <v>2753</v>
      </c>
      <c r="M1108" s="3" t="str">
        <f>HYPERLINK("..\..\Imagery\ScannedPhotos\1983\CG83-328.5.jpg")</f>
        <v>..\..\Imagery\ScannedPhotos\1983\CG83-328.5.jpg</v>
      </c>
    </row>
    <row r="1109" spans="1:13" x14ac:dyDescent="0.25">
      <c r="A1109" t="s">
        <v>1854</v>
      </c>
      <c r="B1109">
        <v>328058</v>
      </c>
      <c r="C1109">
        <v>6005701</v>
      </c>
      <c r="D1109">
        <v>21</v>
      </c>
      <c r="E1109" t="s">
        <v>15</v>
      </c>
      <c r="F1109" t="s">
        <v>3019</v>
      </c>
      <c r="G1109">
        <v>6</v>
      </c>
      <c r="H1109" t="s">
        <v>268</v>
      </c>
      <c r="I1109" t="s">
        <v>294</v>
      </c>
      <c r="J1109" t="s">
        <v>269</v>
      </c>
      <c r="K1109" t="s">
        <v>20</v>
      </c>
      <c r="L1109" t="s">
        <v>1856</v>
      </c>
      <c r="M1109" s="3" t="str">
        <f>HYPERLINK("..\..\Imagery\ScannedPhotos\1983\CG83-345.1.jpg")</f>
        <v>..\..\Imagery\ScannedPhotos\1983\CG83-345.1.jpg</v>
      </c>
    </row>
    <row r="1110" spans="1:13" x14ac:dyDescent="0.25">
      <c r="A1110" t="s">
        <v>1854</v>
      </c>
      <c r="B1110">
        <v>328058</v>
      </c>
      <c r="C1110">
        <v>6005701</v>
      </c>
      <c r="D1110">
        <v>21</v>
      </c>
      <c r="E1110" t="s">
        <v>15</v>
      </c>
      <c r="F1110" t="s">
        <v>3020</v>
      </c>
      <c r="G1110">
        <v>6</v>
      </c>
      <c r="H1110" t="s">
        <v>268</v>
      </c>
      <c r="I1110" t="s">
        <v>79</v>
      </c>
      <c r="J1110" t="s">
        <v>269</v>
      </c>
      <c r="K1110" t="s">
        <v>20</v>
      </c>
      <c r="L1110" t="s">
        <v>1856</v>
      </c>
      <c r="M1110" s="3" t="str">
        <f>HYPERLINK("..\..\Imagery\ScannedPhotos\1983\CG83-345.2.jpg")</f>
        <v>..\..\Imagery\ScannedPhotos\1983\CG83-345.2.jpg</v>
      </c>
    </row>
    <row r="1111" spans="1:13" x14ac:dyDescent="0.25">
      <c r="A1111" t="s">
        <v>1854</v>
      </c>
      <c r="B1111">
        <v>328058</v>
      </c>
      <c r="C1111">
        <v>6005701</v>
      </c>
      <c r="D1111">
        <v>21</v>
      </c>
      <c r="E1111" t="s">
        <v>15</v>
      </c>
      <c r="F1111" t="s">
        <v>3021</v>
      </c>
      <c r="G1111">
        <v>6</v>
      </c>
      <c r="H1111" t="s">
        <v>268</v>
      </c>
      <c r="I1111" t="s">
        <v>281</v>
      </c>
      <c r="J1111" t="s">
        <v>269</v>
      </c>
      <c r="K1111" t="s">
        <v>20</v>
      </c>
      <c r="L1111" t="s">
        <v>1856</v>
      </c>
      <c r="M1111" s="3" t="str">
        <f>HYPERLINK("..\..\Imagery\ScannedPhotos\1983\CG83-345.4.jpg")</f>
        <v>..\..\Imagery\ScannedPhotos\1983\CG83-345.4.jpg</v>
      </c>
    </row>
    <row r="1112" spans="1:13" x14ac:dyDescent="0.25">
      <c r="A1112" t="s">
        <v>3022</v>
      </c>
      <c r="B1112">
        <v>475252</v>
      </c>
      <c r="C1112">
        <v>5789697</v>
      </c>
      <c r="D1112">
        <v>21</v>
      </c>
      <c r="E1112" t="s">
        <v>15</v>
      </c>
      <c r="F1112" t="s">
        <v>3023</v>
      </c>
      <c r="G1112">
        <v>1</v>
      </c>
      <c r="H1112" t="s">
        <v>1163</v>
      </c>
      <c r="I1112" t="s">
        <v>41</v>
      </c>
      <c r="J1112" t="s">
        <v>814</v>
      </c>
      <c r="K1112" t="s">
        <v>56</v>
      </c>
      <c r="L1112" t="s">
        <v>1901</v>
      </c>
      <c r="M1112" s="3" t="str">
        <f>HYPERLINK("..\..\Imagery\ScannedPhotos\1992\VN92-133.jpg")</f>
        <v>..\..\Imagery\ScannedPhotos\1992\VN92-133.jpg</v>
      </c>
    </row>
    <row r="1113" spans="1:13" x14ac:dyDescent="0.25">
      <c r="A1113" t="s">
        <v>1360</v>
      </c>
      <c r="B1113">
        <v>584684</v>
      </c>
      <c r="C1113">
        <v>5770684</v>
      </c>
      <c r="D1113">
        <v>21</v>
      </c>
      <c r="E1113" t="s">
        <v>15</v>
      </c>
      <c r="F1113" t="s">
        <v>3024</v>
      </c>
      <c r="G1113">
        <v>7</v>
      </c>
      <c r="H1113" t="s">
        <v>1066</v>
      </c>
      <c r="I1113" t="s">
        <v>386</v>
      </c>
      <c r="J1113" t="s">
        <v>36</v>
      </c>
      <c r="K1113" t="s">
        <v>20</v>
      </c>
      <c r="L1113" t="s">
        <v>1362</v>
      </c>
      <c r="M1113" s="3" t="str">
        <f>HYPERLINK("..\..\Imagery\ScannedPhotos\1987\CG87-431.3.jpg")</f>
        <v>..\..\Imagery\ScannedPhotos\1987\CG87-431.3.jpg</v>
      </c>
    </row>
    <row r="1114" spans="1:13" x14ac:dyDescent="0.25">
      <c r="A1114" t="s">
        <v>3025</v>
      </c>
      <c r="B1114">
        <v>410608</v>
      </c>
      <c r="C1114">
        <v>5997493</v>
      </c>
      <c r="D1114">
        <v>21</v>
      </c>
      <c r="E1114" t="s">
        <v>15</v>
      </c>
      <c r="F1114" t="s">
        <v>3026</v>
      </c>
      <c r="G1114">
        <v>1</v>
      </c>
      <c r="H1114" t="s">
        <v>758</v>
      </c>
      <c r="I1114" t="s">
        <v>386</v>
      </c>
      <c r="J1114" t="s">
        <v>759</v>
      </c>
      <c r="K1114" t="s">
        <v>20</v>
      </c>
      <c r="L1114" t="s">
        <v>760</v>
      </c>
      <c r="M1114" s="3" t="str">
        <f>HYPERLINK("..\..\Imagery\ScannedPhotos\1980\RG80-059.jpg")</f>
        <v>..\..\Imagery\ScannedPhotos\1980\RG80-059.jpg</v>
      </c>
    </row>
    <row r="1115" spans="1:13" x14ac:dyDescent="0.25">
      <c r="A1115" t="s">
        <v>3027</v>
      </c>
      <c r="B1115">
        <v>509783</v>
      </c>
      <c r="C1115">
        <v>5726083</v>
      </c>
      <c r="D1115">
        <v>21</v>
      </c>
      <c r="E1115" t="s">
        <v>15</v>
      </c>
      <c r="F1115" t="s">
        <v>3028</v>
      </c>
      <c r="G1115">
        <v>1</v>
      </c>
      <c r="H1115" t="s">
        <v>1737</v>
      </c>
      <c r="I1115" t="s">
        <v>647</v>
      </c>
      <c r="J1115" t="s">
        <v>1738</v>
      </c>
      <c r="K1115" t="s">
        <v>20</v>
      </c>
      <c r="L1115" t="s">
        <v>3029</v>
      </c>
      <c r="M1115" s="3" t="str">
        <f>HYPERLINK("..\..\Imagery\ScannedPhotos\1993\DL93-051.jpg")</f>
        <v>..\..\Imagery\ScannedPhotos\1993\DL93-051.jpg</v>
      </c>
    </row>
    <row r="1116" spans="1:13" x14ac:dyDescent="0.25">
      <c r="A1116" t="s">
        <v>3030</v>
      </c>
      <c r="B1116">
        <v>507515</v>
      </c>
      <c r="C1116">
        <v>5726000</v>
      </c>
      <c r="D1116">
        <v>21</v>
      </c>
      <c r="E1116" t="s">
        <v>15</v>
      </c>
      <c r="F1116" t="s">
        <v>3031</v>
      </c>
      <c r="G1116">
        <v>1</v>
      </c>
      <c r="H1116" t="s">
        <v>1737</v>
      </c>
      <c r="I1116" t="s">
        <v>30</v>
      </c>
      <c r="J1116" t="s">
        <v>1738</v>
      </c>
      <c r="K1116" t="s">
        <v>56</v>
      </c>
      <c r="L1116" t="s">
        <v>3032</v>
      </c>
      <c r="M1116" s="3" t="str">
        <f>HYPERLINK("..\..\Imagery\ScannedPhotos\1993\DL93-056.jpg")</f>
        <v>..\..\Imagery\ScannedPhotos\1993\DL93-056.jpg</v>
      </c>
    </row>
    <row r="1117" spans="1:13" x14ac:dyDescent="0.25">
      <c r="A1117" t="s">
        <v>124</v>
      </c>
      <c r="B1117">
        <v>498477</v>
      </c>
      <c r="C1117">
        <v>5951283</v>
      </c>
      <c r="D1117">
        <v>21</v>
      </c>
      <c r="E1117" t="s">
        <v>15</v>
      </c>
      <c r="F1117" t="s">
        <v>3033</v>
      </c>
      <c r="G1117">
        <v>4</v>
      </c>
      <c r="H1117" t="s">
        <v>113</v>
      </c>
      <c r="I1117" t="s">
        <v>108</v>
      </c>
      <c r="J1117" t="s">
        <v>115</v>
      </c>
      <c r="K1117" t="s">
        <v>20</v>
      </c>
      <c r="L1117" t="s">
        <v>3034</v>
      </c>
      <c r="M1117" s="3" t="str">
        <f>HYPERLINK("..\..\Imagery\ScannedPhotos\1977\MC77-072.2.jpg")</f>
        <v>..\..\Imagery\ScannedPhotos\1977\MC77-072.2.jpg</v>
      </c>
    </row>
    <row r="1118" spans="1:13" x14ac:dyDescent="0.25">
      <c r="A1118" t="s">
        <v>3035</v>
      </c>
      <c r="B1118">
        <v>487518</v>
      </c>
      <c r="C1118">
        <v>5929240</v>
      </c>
      <c r="D1118">
        <v>21</v>
      </c>
      <c r="E1118" t="s">
        <v>15</v>
      </c>
      <c r="F1118" t="s">
        <v>3036</v>
      </c>
      <c r="G1118">
        <v>1</v>
      </c>
      <c r="H1118" t="s">
        <v>113</v>
      </c>
      <c r="I1118" t="s">
        <v>143</v>
      </c>
      <c r="J1118" t="s">
        <v>115</v>
      </c>
      <c r="K1118" t="s">
        <v>20</v>
      </c>
      <c r="L1118" t="s">
        <v>3037</v>
      </c>
      <c r="M1118" s="3" t="str">
        <f>HYPERLINK("..\..\Imagery\ScannedPhotos\1977\MC77-075.jpg")</f>
        <v>..\..\Imagery\ScannedPhotos\1977\MC77-075.jpg</v>
      </c>
    </row>
    <row r="1119" spans="1:13" x14ac:dyDescent="0.25">
      <c r="A1119" t="s">
        <v>3038</v>
      </c>
      <c r="B1119">
        <v>487263</v>
      </c>
      <c r="C1119">
        <v>5928912</v>
      </c>
      <c r="D1119">
        <v>21</v>
      </c>
      <c r="E1119" t="s">
        <v>15</v>
      </c>
      <c r="F1119" t="s">
        <v>3039</v>
      </c>
      <c r="G1119">
        <v>5</v>
      </c>
      <c r="H1119" t="s">
        <v>113</v>
      </c>
      <c r="I1119" t="s">
        <v>147</v>
      </c>
      <c r="J1119" t="s">
        <v>115</v>
      </c>
      <c r="K1119" t="s">
        <v>20</v>
      </c>
      <c r="L1119" t="s">
        <v>3040</v>
      </c>
      <c r="M1119" s="3" t="str">
        <f>HYPERLINK("..\..\Imagery\ScannedPhotos\1977\MC77-076.1.jpg")</f>
        <v>..\..\Imagery\ScannedPhotos\1977\MC77-076.1.jpg</v>
      </c>
    </row>
    <row r="1120" spans="1:13" x14ac:dyDescent="0.25">
      <c r="A1120" t="s">
        <v>3038</v>
      </c>
      <c r="B1120">
        <v>487263</v>
      </c>
      <c r="C1120">
        <v>5928912</v>
      </c>
      <c r="D1120">
        <v>21</v>
      </c>
      <c r="E1120" t="s">
        <v>15</v>
      </c>
      <c r="F1120" t="s">
        <v>3041</v>
      </c>
      <c r="G1120">
        <v>5</v>
      </c>
      <c r="H1120" t="s">
        <v>113</v>
      </c>
      <c r="I1120" t="s">
        <v>47</v>
      </c>
      <c r="J1120" t="s">
        <v>115</v>
      </c>
      <c r="K1120" t="s">
        <v>56</v>
      </c>
      <c r="L1120" t="s">
        <v>3040</v>
      </c>
      <c r="M1120" s="3" t="str">
        <f>HYPERLINK("..\..\Imagery\ScannedPhotos\1977\MC77-076.2.jpg")</f>
        <v>..\..\Imagery\ScannedPhotos\1977\MC77-076.2.jpg</v>
      </c>
    </row>
    <row r="1121" spans="1:13" x14ac:dyDescent="0.25">
      <c r="A1121" t="s">
        <v>3038</v>
      </c>
      <c r="B1121">
        <v>487263</v>
      </c>
      <c r="C1121">
        <v>5928912</v>
      </c>
      <c r="D1121">
        <v>21</v>
      </c>
      <c r="E1121" t="s">
        <v>15</v>
      </c>
      <c r="F1121" t="s">
        <v>3042</v>
      </c>
      <c r="G1121">
        <v>5</v>
      </c>
      <c r="H1121" t="s">
        <v>113</v>
      </c>
      <c r="I1121" t="s">
        <v>52</v>
      </c>
      <c r="J1121" t="s">
        <v>115</v>
      </c>
      <c r="K1121" t="s">
        <v>56</v>
      </c>
      <c r="L1121" t="s">
        <v>3040</v>
      </c>
      <c r="M1121" s="3" t="str">
        <f>HYPERLINK("..\..\Imagery\ScannedPhotos\1977\MC77-076.3.jpg")</f>
        <v>..\..\Imagery\ScannedPhotos\1977\MC77-076.3.jpg</v>
      </c>
    </row>
    <row r="1122" spans="1:13" x14ac:dyDescent="0.25">
      <c r="A1122" t="s">
        <v>3038</v>
      </c>
      <c r="B1122">
        <v>487263</v>
      </c>
      <c r="C1122">
        <v>5928912</v>
      </c>
      <c r="D1122">
        <v>21</v>
      </c>
      <c r="E1122" t="s">
        <v>15</v>
      </c>
      <c r="F1122" t="s">
        <v>3043</v>
      </c>
      <c r="G1122">
        <v>5</v>
      </c>
      <c r="H1122" t="s">
        <v>113</v>
      </c>
      <c r="I1122" t="s">
        <v>65</v>
      </c>
      <c r="J1122" t="s">
        <v>115</v>
      </c>
      <c r="K1122" t="s">
        <v>56</v>
      </c>
      <c r="L1122" t="s">
        <v>3040</v>
      </c>
      <c r="M1122" s="3" t="str">
        <f>HYPERLINK("..\..\Imagery\ScannedPhotos\1977\MC77-076.4.jpg")</f>
        <v>..\..\Imagery\ScannedPhotos\1977\MC77-076.4.jpg</v>
      </c>
    </row>
    <row r="1123" spans="1:13" x14ac:dyDescent="0.25">
      <c r="A1123" t="s">
        <v>3038</v>
      </c>
      <c r="B1123">
        <v>487263</v>
      </c>
      <c r="C1123">
        <v>5928912</v>
      </c>
      <c r="D1123">
        <v>21</v>
      </c>
      <c r="E1123" t="s">
        <v>15</v>
      </c>
      <c r="F1123" t="s">
        <v>3044</v>
      </c>
      <c r="G1123">
        <v>5</v>
      </c>
      <c r="H1123" t="s">
        <v>113</v>
      </c>
      <c r="I1123" t="s">
        <v>401</v>
      </c>
      <c r="J1123" t="s">
        <v>115</v>
      </c>
      <c r="K1123" t="s">
        <v>20</v>
      </c>
      <c r="L1123" t="s">
        <v>3040</v>
      </c>
      <c r="M1123" s="3" t="str">
        <f>HYPERLINK("..\..\Imagery\ScannedPhotos\1977\MC77-076.5.jpg")</f>
        <v>..\..\Imagery\ScannedPhotos\1977\MC77-076.5.jpg</v>
      </c>
    </row>
    <row r="1124" spans="1:13" x14ac:dyDescent="0.25">
      <c r="A1124" t="s">
        <v>3045</v>
      </c>
      <c r="B1124">
        <v>564383</v>
      </c>
      <c r="C1124">
        <v>5751722</v>
      </c>
      <c r="D1124">
        <v>21</v>
      </c>
      <c r="E1124" t="s">
        <v>15</v>
      </c>
      <c r="F1124" t="s">
        <v>3046</v>
      </c>
      <c r="G1124">
        <v>1</v>
      </c>
      <c r="H1124" t="s">
        <v>2816</v>
      </c>
      <c r="I1124" t="s">
        <v>126</v>
      </c>
      <c r="J1124" t="s">
        <v>1514</v>
      </c>
      <c r="K1124" t="s">
        <v>56</v>
      </c>
      <c r="L1124" t="s">
        <v>3047</v>
      </c>
      <c r="M1124" s="3" t="str">
        <f>HYPERLINK("..\..\Imagery\ScannedPhotos\1993\DL93-348.jpg")</f>
        <v>..\..\Imagery\ScannedPhotos\1993\DL93-348.jpg</v>
      </c>
    </row>
    <row r="1125" spans="1:13" x14ac:dyDescent="0.25">
      <c r="A1125" t="s">
        <v>3048</v>
      </c>
      <c r="B1125">
        <v>565164</v>
      </c>
      <c r="C1125">
        <v>5749884</v>
      </c>
      <c r="D1125">
        <v>21</v>
      </c>
      <c r="E1125" t="s">
        <v>15</v>
      </c>
      <c r="F1125" t="s">
        <v>3049</v>
      </c>
      <c r="G1125">
        <v>1</v>
      </c>
      <c r="H1125" t="s">
        <v>2816</v>
      </c>
      <c r="I1125" t="s">
        <v>132</v>
      </c>
      <c r="J1125" t="s">
        <v>1514</v>
      </c>
      <c r="K1125" t="s">
        <v>56</v>
      </c>
      <c r="L1125" t="s">
        <v>3050</v>
      </c>
      <c r="M1125" s="3" t="str">
        <f>HYPERLINK("..\..\Imagery\ScannedPhotos\1993\DL93-352.jpg")</f>
        <v>..\..\Imagery\ScannedPhotos\1993\DL93-352.jpg</v>
      </c>
    </row>
    <row r="1126" spans="1:13" x14ac:dyDescent="0.25">
      <c r="A1126" t="s">
        <v>607</v>
      </c>
      <c r="B1126">
        <v>375596</v>
      </c>
      <c r="C1126">
        <v>6121347</v>
      </c>
      <c r="D1126">
        <v>21</v>
      </c>
      <c r="E1126" t="s">
        <v>15</v>
      </c>
      <c r="F1126" t="s">
        <v>3051</v>
      </c>
      <c r="G1126">
        <v>5</v>
      </c>
      <c r="H1126" t="s">
        <v>609</v>
      </c>
      <c r="I1126" t="s">
        <v>85</v>
      </c>
      <c r="J1126" t="s">
        <v>610</v>
      </c>
      <c r="K1126" t="s">
        <v>20</v>
      </c>
      <c r="L1126" t="s">
        <v>3052</v>
      </c>
      <c r="M1126" s="3" t="str">
        <f>HYPERLINK("..\..\Imagery\ScannedPhotos\1979\AD79-009.2.jpg")</f>
        <v>..\..\Imagery\ScannedPhotos\1979\AD79-009.2.jpg</v>
      </c>
    </row>
    <row r="1127" spans="1:13" x14ac:dyDescent="0.25">
      <c r="A1127" t="s">
        <v>607</v>
      </c>
      <c r="B1127">
        <v>375596</v>
      </c>
      <c r="C1127">
        <v>6121347</v>
      </c>
      <c r="D1127">
        <v>21</v>
      </c>
      <c r="E1127" t="s">
        <v>15</v>
      </c>
      <c r="F1127" t="s">
        <v>3053</v>
      </c>
      <c r="G1127">
        <v>5</v>
      </c>
      <c r="H1127" t="s">
        <v>609</v>
      </c>
      <c r="I1127" t="s">
        <v>375</v>
      </c>
      <c r="J1127" t="s">
        <v>610</v>
      </c>
      <c r="K1127" t="s">
        <v>20</v>
      </c>
      <c r="L1127" t="s">
        <v>3052</v>
      </c>
      <c r="M1127" s="3" t="str">
        <f>HYPERLINK("..\..\Imagery\ScannedPhotos\1979\AD79-009.3.jpg")</f>
        <v>..\..\Imagery\ScannedPhotos\1979\AD79-009.3.jpg</v>
      </c>
    </row>
    <row r="1128" spans="1:13" x14ac:dyDescent="0.25">
      <c r="A1128" t="s">
        <v>607</v>
      </c>
      <c r="B1128">
        <v>375596</v>
      </c>
      <c r="C1128">
        <v>6121347</v>
      </c>
      <c r="D1128">
        <v>21</v>
      </c>
      <c r="E1128" t="s">
        <v>15</v>
      </c>
      <c r="F1128" t="s">
        <v>3054</v>
      </c>
      <c r="G1128">
        <v>5</v>
      </c>
      <c r="H1128" t="s">
        <v>609</v>
      </c>
      <c r="I1128" t="s">
        <v>41</v>
      </c>
      <c r="J1128" t="s">
        <v>610</v>
      </c>
      <c r="K1128" t="s">
        <v>20</v>
      </c>
      <c r="L1128" t="s">
        <v>3055</v>
      </c>
      <c r="M1128" s="3" t="str">
        <f>HYPERLINK("..\..\Imagery\ScannedPhotos\1979\AD79-009.1.jpg")</f>
        <v>..\..\Imagery\ScannedPhotos\1979\AD79-009.1.jpg</v>
      </c>
    </row>
    <row r="1129" spans="1:13" x14ac:dyDescent="0.25">
      <c r="A1129" t="s">
        <v>3056</v>
      </c>
      <c r="B1129">
        <v>375382</v>
      </c>
      <c r="C1129">
        <v>6121038</v>
      </c>
      <c r="D1129">
        <v>21</v>
      </c>
      <c r="E1129" t="s">
        <v>15</v>
      </c>
      <c r="F1129" t="s">
        <v>3057</v>
      </c>
      <c r="G1129">
        <v>2</v>
      </c>
      <c r="H1129" t="s">
        <v>609</v>
      </c>
      <c r="I1129" t="s">
        <v>386</v>
      </c>
      <c r="J1129" t="s">
        <v>610</v>
      </c>
      <c r="K1129" t="s">
        <v>20</v>
      </c>
      <c r="L1129" t="s">
        <v>3058</v>
      </c>
      <c r="M1129" s="3" t="str">
        <f>HYPERLINK("..\..\Imagery\ScannedPhotos\1979\AD79-010.1.jpg")</f>
        <v>..\..\Imagery\ScannedPhotos\1979\AD79-010.1.jpg</v>
      </c>
    </row>
    <row r="1130" spans="1:13" x14ac:dyDescent="0.25">
      <c r="A1130" t="s">
        <v>3056</v>
      </c>
      <c r="B1130">
        <v>375382</v>
      </c>
      <c r="C1130">
        <v>6121038</v>
      </c>
      <c r="D1130">
        <v>21</v>
      </c>
      <c r="E1130" t="s">
        <v>15</v>
      </c>
      <c r="F1130" t="s">
        <v>3059</v>
      </c>
      <c r="G1130">
        <v>2</v>
      </c>
      <c r="H1130" t="s">
        <v>609</v>
      </c>
      <c r="I1130" t="s">
        <v>217</v>
      </c>
      <c r="J1130" t="s">
        <v>610</v>
      </c>
      <c r="K1130" t="s">
        <v>20</v>
      </c>
      <c r="L1130" t="s">
        <v>356</v>
      </c>
      <c r="M1130" s="3" t="str">
        <f>HYPERLINK("..\..\Imagery\ScannedPhotos\1979\AD79-010.2.jpg")</f>
        <v>..\..\Imagery\ScannedPhotos\1979\AD79-010.2.jpg</v>
      </c>
    </row>
    <row r="1131" spans="1:13" x14ac:dyDescent="0.25">
      <c r="A1131" t="s">
        <v>3060</v>
      </c>
      <c r="B1131">
        <v>375035</v>
      </c>
      <c r="C1131">
        <v>6120796</v>
      </c>
      <c r="D1131">
        <v>21</v>
      </c>
      <c r="E1131" t="s">
        <v>15</v>
      </c>
      <c r="F1131" t="s">
        <v>3061</v>
      </c>
      <c r="G1131">
        <v>4</v>
      </c>
      <c r="H1131" t="s">
        <v>609</v>
      </c>
      <c r="I1131" t="s">
        <v>214</v>
      </c>
      <c r="J1131" t="s">
        <v>610</v>
      </c>
      <c r="K1131" t="s">
        <v>20</v>
      </c>
      <c r="L1131" t="s">
        <v>3062</v>
      </c>
      <c r="M1131" s="3" t="str">
        <f>HYPERLINK("..\..\Imagery\ScannedPhotos\1979\AD79-011.1.jpg")</f>
        <v>..\..\Imagery\ScannedPhotos\1979\AD79-011.1.jpg</v>
      </c>
    </row>
    <row r="1132" spans="1:13" x14ac:dyDescent="0.25">
      <c r="A1132" t="s">
        <v>3060</v>
      </c>
      <c r="B1132">
        <v>375035</v>
      </c>
      <c r="C1132">
        <v>6120796</v>
      </c>
      <c r="D1132">
        <v>21</v>
      </c>
      <c r="E1132" t="s">
        <v>15</v>
      </c>
      <c r="F1132" t="s">
        <v>3063</v>
      </c>
      <c r="G1132">
        <v>4</v>
      </c>
      <c r="H1132" t="s">
        <v>609</v>
      </c>
      <c r="I1132" t="s">
        <v>418</v>
      </c>
      <c r="J1132" t="s">
        <v>610</v>
      </c>
      <c r="K1132" t="s">
        <v>20</v>
      </c>
      <c r="L1132" t="s">
        <v>3064</v>
      </c>
      <c r="M1132" s="3" t="str">
        <f>HYPERLINK("..\..\Imagery\ScannedPhotos\1979\AD79-011.3.jpg")</f>
        <v>..\..\Imagery\ScannedPhotos\1979\AD79-011.3.jpg</v>
      </c>
    </row>
    <row r="1133" spans="1:13" x14ac:dyDescent="0.25">
      <c r="A1133" t="s">
        <v>3060</v>
      </c>
      <c r="B1133">
        <v>375035</v>
      </c>
      <c r="C1133">
        <v>6120796</v>
      </c>
      <c r="D1133">
        <v>21</v>
      </c>
      <c r="E1133" t="s">
        <v>15</v>
      </c>
      <c r="F1133" t="s">
        <v>3065</v>
      </c>
      <c r="G1133">
        <v>4</v>
      </c>
      <c r="H1133" t="s">
        <v>609</v>
      </c>
      <c r="I1133" t="s">
        <v>304</v>
      </c>
      <c r="J1133" t="s">
        <v>610</v>
      </c>
      <c r="K1133" t="s">
        <v>20</v>
      </c>
      <c r="L1133" t="s">
        <v>3066</v>
      </c>
      <c r="M1133" s="3" t="str">
        <f>HYPERLINK("..\..\Imagery\ScannedPhotos\1979\AD79-011.4.jpg")</f>
        <v>..\..\Imagery\ScannedPhotos\1979\AD79-011.4.jpg</v>
      </c>
    </row>
    <row r="1134" spans="1:13" x14ac:dyDescent="0.25">
      <c r="A1134" t="s">
        <v>3067</v>
      </c>
      <c r="B1134">
        <v>374348</v>
      </c>
      <c r="C1134">
        <v>6120705</v>
      </c>
      <c r="D1134">
        <v>21</v>
      </c>
      <c r="E1134" t="s">
        <v>15</v>
      </c>
      <c r="F1134" t="s">
        <v>3068</v>
      </c>
      <c r="G1134">
        <v>1</v>
      </c>
      <c r="H1134" t="s">
        <v>609</v>
      </c>
      <c r="I1134" t="s">
        <v>195</v>
      </c>
      <c r="J1134" t="s">
        <v>610</v>
      </c>
      <c r="K1134" t="s">
        <v>20</v>
      </c>
      <c r="L1134" t="s">
        <v>3069</v>
      </c>
      <c r="M1134" s="3" t="str">
        <f>HYPERLINK("..\..\Imagery\ScannedPhotos\1979\AD79-012.jpg")</f>
        <v>..\..\Imagery\ScannedPhotos\1979\AD79-012.jpg</v>
      </c>
    </row>
    <row r="1135" spans="1:13" x14ac:dyDescent="0.25">
      <c r="A1135" t="s">
        <v>3070</v>
      </c>
      <c r="B1135">
        <v>376422</v>
      </c>
      <c r="C1135">
        <v>6100629</v>
      </c>
      <c r="D1135">
        <v>21</v>
      </c>
      <c r="E1135" t="s">
        <v>15</v>
      </c>
      <c r="F1135" t="s">
        <v>3071</v>
      </c>
      <c r="G1135">
        <v>3</v>
      </c>
      <c r="H1135" t="s">
        <v>609</v>
      </c>
      <c r="I1135" t="s">
        <v>119</v>
      </c>
      <c r="J1135" t="s">
        <v>610</v>
      </c>
      <c r="K1135" t="s">
        <v>20</v>
      </c>
      <c r="L1135" t="s">
        <v>3072</v>
      </c>
      <c r="M1135" s="3" t="str">
        <f>HYPERLINK("..\..\Imagery\ScannedPhotos\1979\AD79-014.3.jpg")</f>
        <v>..\..\Imagery\ScannedPhotos\1979\AD79-014.3.jpg</v>
      </c>
    </row>
    <row r="1136" spans="1:13" x14ac:dyDescent="0.25">
      <c r="A1136" t="s">
        <v>3070</v>
      </c>
      <c r="B1136">
        <v>376422</v>
      </c>
      <c r="C1136">
        <v>6100629</v>
      </c>
      <c r="D1136">
        <v>21</v>
      </c>
      <c r="E1136" t="s">
        <v>15</v>
      </c>
      <c r="F1136" t="s">
        <v>3073</v>
      </c>
      <c r="G1136">
        <v>3</v>
      </c>
      <c r="H1136" t="s">
        <v>609</v>
      </c>
      <c r="I1136" t="s">
        <v>30</v>
      </c>
      <c r="J1136" t="s">
        <v>610</v>
      </c>
      <c r="K1136" t="s">
        <v>20</v>
      </c>
      <c r="L1136" t="s">
        <v>3074</v>
      </c>
      <c r="M1136" s="3" t="str">
        <f>HYPERLINK("..\..\Imagery\ScannedPhotos\1979\AD79-014.1.jpg")</f>
        <v>..\..\Imagery\ScannedPhotos\1979\AD79-014.1.jpg</v>
      </c>
    </row>
    <row r="1137" spans="1:13" x14ac:dyDescent="0.25">
      <c r="A1137" t="s">
        <v>3070</v>
      </c>
      <c r="B1137">
        <v>376422</v>
      </c>
      <c r="C1137">
        <v>6100629</v>
      </c>
      <c r="D1137">
        <v>21</v>
      </c>
      <c r="E1137" t="s">
        <v>15</v>
      </c>
      <c r="F1137" t="s">
        <v>3075</v>
      </c>
      <c r="G1137">
        <v>3</v>
      </c>
      <c r="H1137" t="s">
        <v>609</v>
      </c>
      <c r="I1137" t="s">
        <v>114</v>
      </c>
      <c r="J1137" t="s">
        <v>610</v>
      </c>
      <c r="K1137" t="s">
        <v>20</v>
      </c>
      <c r="L1137" t="s">
        <v>3076</v>
      </c>
      <c r="M1137" s="3" t="str">
        <f>HYPERLINK("..\..\Imagery\ScannedPhotos\1979\AD79-014.2.jpg")</f>
        <v>..\..\Imagery\ScannedPhotos\1979\AD79-014.2.jpg</v>
      </c>
    </row>
    <row r="1138" spans="1:13" x14ac:dyDescent="0.25">
      <c r="A1138" t="s">
        <v>3077</v>
      </c>
      <c r="B1138">
        <v>376387</v>
      </c>
      <c r="C1138">
        <v>6100830</v>
      </c>
      <c r="D1138">
        <v>21</v>
      </c>
      <c r="E1138" t="s">
        <v>15</v>
      </c>
      <c r="F1138" t="s">
        <v>3078</v>
      </c>
      <c r="G1138">
        <v>1</v>
      </c>
      <c r="H1138" t="s">
        <v>609</v>
      </c>
      <c r="I1138" t="s">
        <v>122</v>
      </c>
      <c r="J1138" t="s">
        <v>610</v>
      </c>
      <c r="K1138" t="s">
        <v>20</v>
      </c>
      <c r="L1138" t="s">
        <v>3079</v>
      </c>
      <c r="M1138" s="3" t="str">
        <f>HYPERLINK("..\..\Imagery\ScannedPhotos\1979\AD79-015.jpg")</f>
        <v>..\..\Imagery\ScannedPhotos\1979\AD79-015.jpg</v>
      </c>
    </row>
    <row r="1139" spans="1:13" x14ac:dyDescent="0.25">
      <c r="A1139" t="s">
        <v>3080</v>
      </c>
      <c r="B1139">
        <v>376264</v>
      </c>
      <c r="C1139">
        <v>6099004</v>
      </c>
      <c r="D1139">
        <v>21</v>
      </c>
      <c r="E1139" t="s">
        <v>15</v>
      </c>
      <c r="F1139" t="s">
        <v>3081</v>
      </c>
      <c r="G1139">
        <v>3</v>
      </c>
      <c r="H1139" t="s">
        <v>609</v>
      </c>
      <c r="I1139" t="s">
        <v>126</v>
      </c>
      <c r="J1139" t="s">
        <v>610</v>
      </c>
      <c r="K1139" t="s">
        <v>20</v>
      </c>
      <c r="L1139" t="s">
        <v>3082</v>
      </c>
      <c r="M1139" s="3" t="str">
        <f>HYPERLINK("..\..\Imagery\ScannedPhotos\1979\AD79-019.1.jpg")</f>
        <v>..\..\Imagery\ScannedPhotos\1979\AD79-019.1.jpg</v>
      </c>
    </row>
    <row r="1140" spans="1:13" x14ac:dyDescent="0.25">
      <c r="A1140" t="s">
        <v>3080</v>
      </c>
      <c r="B1140">
        <v>376264</v>
      </c>
      <c r="C1140">
        <v>6099004</v>
      </c>
      <c r="D1140">
        <v>21</v>
      </c>
      <c r="E1140" t="s">
        <v>15</v>
      </c>
      <c r="F1140" t="s">
        <v>3083</v>
      </c>
      <c r="G1140">
        <v>3</v>
      </c>
      <c r="H1140" t="s">
        <v>609</v>
      </c>
      <c r="I1140" t="s">
        <v>108</v>
      </c>
      <c r="J1140" t="s">
        <v>610</v>
      </c>
      <c r="K1140" t="s">
        <v>56</v>
      </c>
      <c r="L1140" t="s">
        <v>3082</v>
      </c>
      <c r="M1140" s="3" t="str">
        <f>HYPERLINK("..\..\Imagery\ScannedPhotos\1979\AD79-019.2.jpg")</f>
        <v>..\..\Imagery\ScannedPhotos\1979\AD79-019.2.jpg</v>
      </c>
    </row>
    <row r="1141" spans="1:13" x14ac:dyDescent="0.25">
      <c r="A1141" t="s">
        <v>3080</v>
      </c>
      <c r="B1141">
        <v>376264</v>
      </c>
      <c r="C1141">
        <v>6099004</v>
      </c>
      <c r="D1141">
        <v>21</v>
      </c>
      <c r="E1141" t="s">
        <v>15</v>
      </c>
      <c r="F1141" t="s">
        <v>3084</v>
      </c>
      <c r="G1141">
        <v>3</v>
      </c>
      <c r="H1141" t="s">
        <v>609</v>
      </c>
      <c r="I1141" t="s">
        <v>132</v>
      </c>
      <c r="J1141" t="s">
        <v>610</v>
      </c>
      <c r="K1141" t="s">
        <v>20</v>
      </c>
      <c r="L1141" t="s">
        <v>3085</v>
      </c>
      <c r="M1141" s="3" t="str">
        <f>HYPERLINK("..\..\Imagery\ScannedPhotos\1979\AD79-019.3.jpg")</f>
        <v>..\..\Imagery\ScannedPhotos\1979\AD79-019.3.jpg</v>
      </c>
    </row>
    <row r="1142" spans="1:13" x14ac:dyDescent="0.25">
      <c r="A1142" t="s">
        <v>346</v>
      </c>
      <c r="B1142">
        <v>377721</v>
      </c>
      <c r="C1142">
        <v>6103880</v>
      </c>
      <c r="D1142">
        <v>21</v>
      </c>
      <c r="E1142" t="s">
        <v>15</v>
      </c>
      <c r="F1142" t="s">
        <v>3086</v>
      </c>
      <c r="G1142">
        <v>5</v>
      </c>
      <c r="H1142" t="s">
        <v>249</v>
      </c>
      <c r="I1142" t="s">
        <v>35</v>
      </c>
      <c r="J1142" t="s">
        <v>250</v>
      </c>
      <c r="K1142" t="s">
        <v>20</v>
      </c>
      <c r="L1142" t="s">
        <v>3087</v>
      </c>
      <c r="M1142" s="3" t="str">
        <f>HYPERLINK("..\..\Imagery\ScannedPhotos\1979\AD79-024.5.jpg")</f>
        <v>..\..\Imagery\ScannedPhotos\1979\AD79-024.5.jpg</v>
      </c>
    </row>
    <row r="1143" spans="1:13" x14ac:dyDescent="0.25">
      <c r="A1143" t="s">
        <v>3088</v>
      </c>
      <c r="B1143">
        <v>542216</v>
      </c>
      <c r="C1143">
        <v>5742869</v>
      </c>
      <c r="D1143">
        <v>21</v>
      </c>
      <c r="E1143" t="s">
        <v>15</v>
      </c>
      <c r="F1143" t="s">
        <v>3089</v>
      </c>
      <c r="G1143">
        <v>2</v>
      </c>
      <c r="K1143" t="s">
        <v>56</v>
      </c>
      <c r="L1143" t="s">
        <v>3090</v>
      </c>
      <c r="M1143" s="3" t="str">
        <f>HYPERLINK("..\..\Imagery\ScannedPhotos\2003\CG03-029.2.jpg")</f>
        <v>..\..\Imagery\ScannedPhotos\2003\CG03-029.2.jpg</v>
      </c>
    </row>
    <row r="1144" spans="1:13" x14ac:dyDescent="0.25">
      <c r="A1144" t="s">
        <v>3091</v>
      </c>
      <c r="B1144">
        <v>554046</v>
      </c>
      <c r="C1144">
        <v>5766696</v>
      </c>
      <c r="D1144">
        <v>21</v>
      </c>
      <c r="E1144" t="s">
        <v>15</v>
      </c>
      <c r="F1144" t="s">
        <v>3092</v>
      </c>
      <c r="G1144">
        <v>1</v>
      </c>
      <c r="K1144" t="s">
        <v>56</v>
      </c>
      <c r="L1144" t="s">
        <v>3093</v>
      </c>
      <c r="M1144" s="3" t="str">
        <f>HYPERLINK("..\..\Imagery\ScannedPhotos\2003\CG03-073.jpg")</f>
        <v>..\..\Imagery\ScannedPhotos\2003\CG03-073.jpg</v>
      </c>
    </row>
    <row r="1145" spans="1:13" x14ac:dyDescent="0.25">
      <c r="A1145" t="s">
        <v>3094</v>
      </c>
      <c r="B1145">
        <v>547279</v>
      </c>
      <c r="C1145">
        <v>5787751</v>
      </c>
      <c r="D1145">
        <v>21</v>
      </c>
      <c r="E1145" t="s">
        <v>15</v>
      </c>
      <c r="F1145" t="s">
        <v>3095</v>
      </c>
      <c r="G1145">
        <v>1</v>
      </c>
      <c r="K1145" t="s">
        <v>20</v>
      </c>
      <c r="L1145" t="s">
        <v>3096</v>
      </c>
      <c r="M1145" s="3" t="str">
        <f>HYPERLINK("..\..\Imagery\ScannedPhotos\1987\CG87-296.jpg")</f>
        <v>..\..\Imagery\ScannedPhotos\1987\CG87-296.jpg</v>
      </c>
    </row>
    <row r="1146" spans="1:13" x14ac:dyDescent="0.25">
      <c r="A1146" t="s">
        <v>3097</v>
      </c>
      <c r="B1146">
        <v>575014</v>
      </c>
      <c r="C1146">
        <v>5832729</v>
      </c>
      <c r="D1146">
        <v>21</v>
      </c>
      <c r="E1146" t="s">
        <v>15</v>
      </c>
      <c r="F1146" t="s">
        <v>3098</v>
      </c>
      <c r="G1146">
        <v>8</v>
      </c>
      <c r="K1146" t="s">
        <v>20</v>
      </c>
      <c r="L1146" t="s">
        <v>3099</v>
      </c>
      <c r="M1146" s="3" t="str">
        <f>HYPERLINK("..\..\Imagery\ScannedPhotos\2011\CG11-001.1.jpg")</f>
        <v>..\..\Imagery\ScannedPhotos\2011\CG11-001.1.jpg</v>
      </c>
    </row>
    <row r="1147" spans="1:13" x14ac:dyDescent="0.25">
      <c r="A1147" t="s">
        <v>3100</v>
      </c>
      <c r="B1147">
        <v>575014</v>
      </c>
      <c r="C1147">
        <v>5832729</v>
      </c>
      <c r="D1147">
        <v>21</v>
      </c>
      <c r="E1147" t="s">
        <v>15</v>
      </c>
      <c r="F1147" t="s">
        <v>3101</v>
      </c>
      <c r="G1147">
        <v>8</v>
      </c>
      <c r="K1147" t="s">
        <v>20</v>
      </c>
      <c r="L1147" t="s">
        <v>3099</v>
      </c>
      <c r="M1147" s="3" t="str">
        <f>HYPERLINK("..\..\Imagery\ScannedPhotos\2011\CG11-001.2.jpg")</f>
        <v>..\..\Imagery\ScannedPhotos\2011\CG11-001.2.jpg</v>
      </c>
    </row>
    <row r="1148" spans="1:13" x14ac:dyDescent="0.25">
      <c r="A1148" t="s">
        <v>3102</v>
      </c>
      <c r="B1148">
        <v>575014</v>
      </c>
      <c r="C1148">
        <v>5832729</v>
      </c>
      <c r="D1148">
        <v>21</v>
      </c>
      <c r="E1148" t="s">
        <v>15</v>
      </c>
      <c r="F1148" t="s">
        <v>3103</v>
      </c>
      <c r="G1148">
        <v>8</v>
      </c>
      <c r="K1148" t="s">
        <v>20</v>
      </c>
      <c r="L1148" t="s">
        <v>3099</v>
      </c>
      <c r="M1148" s="3" t="str">
        <f>HYPERLINK("..\..\Imagery\ScannedPhotos\2011\CG11-001.3.jpg")</f>
        <v>..\..\Imagery\ScannedPhotos\2011\CG11-001.3.jpg</v>
      </c>
    </row>
    <row r="1149" spans="1:13" x14ac:dyDescent="0.25">
      <c r="A1149" t="s">
        <v>3104</v>
      </c>
      <c r="B1149">
        <v>575014</v>
      </c>
      <c r="C1149">
        <v>5832729</v>
      </c>
      <c r="D1149">
        <v>21</v>
      </c>
      <c r="E1149" t="s">
        <v>15</v>
      </c>
      <c r="F1149" t="s">
        <v>3105</v>
      </c>
      <c r="G1149">
        <v>8</v>
      </c>
      <c r="K1149" t="s">
        <v>20</v>
      </c>
      <c r="L1149" t="s">
        <v>3106</v>
      </c>
      <c r="M1149" s="3" t="str">
        <f>HYPERLINK("..\..\Imagery\ScannedPhotos\2011\CG11-001.4.jpg")</f>
        <v>..\..\Imagery\ScannedPhotos\2011\CG11-001.4.jpg</v>
      </c>
    </row>
    <row r="1150" spans="1:13" x14ac:dyDescent="0.25">
      <c r="A1150" t="s">
        <v>3107</v>
      </c>
      <c r="B1150">
        <v>575014</v>
      </c>
      <c r="C1150">
        <v>5832729</v>
      </c>
      <c r="D1150">
        <v>21</v>
      </c>
      <c r="E1150" t="s">
        <v>15</v>
      </c>
      <c r="F1150" t="s">
        <v>3108</v>
      </c>
      <c r="G1150">
        <v>8</v>
      </c>
      <c r="K1150" t="s">
        <v>20</v>
      </c>
      <c r="L1150" t="s">
        <v>3106</v>
      </c>
      <c r="M1150" s="3" t="str">
        <f>HYPERLINK("..\..\Imagery\ScannedPhotos\2011\CG11-001.5.jpg")</f>
        <v>..\..\Imagery\ScannedPhotos\2011\CG11-001.5.jpg</v>
      </c>
    </row>
    <row r="1151" spans="1:13" x14ac:dyDescent="0.25">
      <c r="A1151" t="s">
        <v>3109</v>
      </c>
      <c r="B1151">
        <v>575014</v>
      </c>
      <c r="C1151">
        <v>5832729</v>
      </c>
      <c r="D1151">
        <v>21</v>
      </c>
      <c r="E1151" t="s">
        <v>15</v>
      </c>
      <c r="F1151" t="s">
        <v>3110</v>
      </c>
      <c r="G1151">
        <v>8</v>
      </c>
      <c r="K1151" t="s">
        <v>20</v>
      </c>
      <c r="L1151" t="s">
        <v>3106</v>
      </c>
      <c r="M1151" s="3" t="str">
        <f>HYPERLINK("..\..\Imagery\ScannedPhotos\2011\CG11-001.6.jpg")</f>
        <v>..\..\Imagery\ScannedPhotos\2011\CG11-001.6.jpg</v>
      </c>
    </row>
    <row r="1152" spans="1:13" x14ac:dyDescent="0.25">
      <c r="A1152" t="s">
        <v>14</v>
      </c>
      <c r="B1152">
        <v>551495</v>
      </c>
      <c r="C1152">
        <v>5821595</v>
      </c>
      <c r="D1152">
        <v>21</v>
      </c>
      <c r="E1152" t="s">
        <v>15</v>
      </c>
      <c r="F1152" t="s">
        <v>3111</v>
      </c>
      <c r="G1152">
        <v>16</v>
      </c>
      <c r="H1152" t="s">
        <v>17</v>
      </c>
      <c r="I1152" t="s">
        <v>74</v>
      </c>
      <c r="J1152" t="s">
        <v>19</v>
      </c>
      <c r="K1152" t="s">
        <v>20</v>
      </c>
      <c r="L1152" t="s">
        <v>3112</v>
      </c>
      <c r="M1152" s="3" t="str">
        <f>HYPERLINK("..\..\Imagery\ScannedPhotos\1986\CG86-018.15.jpg")</f>
        <v>..\..\Imagery\ScannedPhotos\1986\CG86-018.15.jpg</v>
      </c>
    </row>
    <row r="1153" spans="1:13" x14ac:dyDescent="0.25">
      <c r="A1153" t="s">
        <v>14</v>
      </c>
      <c r="B1153">
        <v>551495</v>
      </c>
      <c r="C1153">
        <v>5821595</v>
      </c>
      <c r="D1153">
        <v>21</v>
      </c>
      <c r="E1153" t="s">
        <v>15</v>
      </c>
      <c r="F1153" t="s">
        <v>3113</v>
      </c>
      <c r="G1153">
        <v>16</v>
      </c>
      <c r="H1153" t="s">
        <v>17</v>
      </c>
      <c r="I1153" t="s">
        <v>41</v>
      </c>
      <c r="J1153" t="s">
        <v>19</v>
      </c>
      <c r="K1153" t="s">
        <v>20</v>
      </c>
      <c r="L1153" t="s">
        <v>3114</v>
      </c>
      <c r="M1153" s="3" t="str">
        <f>HYPERLINK("..\..\Imagery\ScannedPhotos\1986\CG86-018.16.jpg")</f>
        <v>..\..\Imagery\ScannedPhotos\1986\CG86-018.16.jpg</v>
      </c>
    </row>
    <row r="1154" spans="1:13" x14ac:dyDescent="0.25">
      <c r="A1154" t="s">
        <v>14</v>
      </c>
      <c r="B1154">
        <v>551495</v>
      </c>
      <c r="C1154">
        <v>5821595</v>
      </c>
      <c r="D1154">
        <v>21</v>
      </c>
      <c r="E1154" t="s">
        <v>15</v>
      </c>
      <c r="F1154" t="s">
        <v>3115</v>
      </c>
      <c r="G1154">
        <v>16</v>
      </c>
      <c r="H1154" t="s">
        <v>17</v>
      </c>
      <c r="I1154" t="s">
        <v>35</v>
      </c>
      <c r="J1154" t="s">
        <v>19</v>
      </c>
      <c r="K1154" t="s">
        <v>20</v>
      </c>
      <c r="L1154" t="s">
        <v>3116</v>
      </c>
      <c r="M1154" s="3" t="str">
        <f>HYPERLINK("..\..\Imagery\ScannedPhotos\1986\CG86-018.13.jpg")</f>
        <v>..\..\Imagery\ScannedPhotos\1986\CG86-018.13.jpg</v>
      </c>
    </row>
    <row r="1155" spans="1:13" x14ac:dyDescent="0.25">
      <c r="A1155" t="s">
        <v>199</v>
      </c>
      <c r="B1155">
        <v>565290</v>
      </c>
      <c r="C1155">
        <v>5870947</v>
      </c>
      <c r="D1155">
        <v>21</v>
      </c>
      <c r="E1155" t="s">
        <v>15</v>
      </c>
      <c r="F1155" t="s">
        <v>3117</v>
      </c>
      <c r="G1155">
        <v>5</v>
      </c>
      <c r="H1155" t="s">
        <v>201</v>
      </c>
      <c r="I1155" t="s">
        <v>74</v>
      </c>
      <c r="J1155" t="s">
        <v>202</v>
      </c>
      <c r="K1155" t="s">
        <v>20</v>
      </c>
      <c r="L1155" t="s">
        <v>203</v>
      </c>
      <c r="M1155" s="3" t="str">
        <f>HYPERLINK("..\..\Imagery\ScannedPhotos\1986\CG86-114.3.jpg")</f>
        <v>..\..\Imagery\ScannedPhotos\1986\CG86-114.3.jpg</v>
      </c>
    </row>
    <row r="1156" spans="1:13" x14ac:dyDescent="0.25">
      <c r="A1156" t="s">
        <v>3118</v>
      </c>
      <c r="B1156">
        <v>572801</v>
      </c>
      <c r="C1156">
        <v>5828688</v>
      </c>
      <c r="D1156">
        <v>21</v>
      </c>
      <c r="E1156" t="s">
        <v>15</v>
      </c>
      <c r="F1156" t="s">
        <v>3119</v>
      </c>
      <c r="G1156">
        <v>1</v>
      </c>
      <c r="H1156" t="s">
        <v>1212</v>
      </c>
      <c r="I1156" t="s">
        <v>65</v>
      </c>
      <c r="J1156" t="s">
        <v>100</v>
      </c>
      <c r="K1156" t="s">
        <v>20</v>
      </c>
      <c r="L1156" t="s">
        <v>772</v>
      </c>
      <c r="M1156" s="3" t="str">
        <f>HYPERLINK("..\..\Imagery\ScannedPhotos\1986\JS86-201.jpg")</f>
        <v>..\..\Imagery\ScannedPhotos\1986\JS86-201.jpg</v>
      </c>
    </row>
    <row r="1157" spans="1:13" x14ac:dyDescent="0.25">
      <c r="A1157" t="s">
        <v>3120</v>
      </c>
      <c r="B1157">
        <v>576185</v>
      </c>
      <c r="C1157">
        <v>5827519</v>
      </c>
      <c r="D1157">
        <v>21</v>
      </c>
      <c r="E1157" t="s">
        <v>15</v>
      </c>
      <c r="F1157" t="s">
        <v>3121</v>
      </c>
      <c r="G1157">
        <v>1</v>
      </c>
      <c r="H1157" t="s">
        <v>1212</v>
      </c>
      <c r="I1157" t="s">
        <v>401</v>
      </c>
      <c r="J1157" t="s">
        <v>100</v>
      </c>
      <c r="K1157" t="s">
        <v>20</v>
      </c>
      <c r="L1157" t="s">
        <v>3122</v>
      </c>
      <c r="M1157" s="3" t="str">
        <f>HYPERLINK("..\..\Imagery\ScannedPhotos\1986\JS86-208.jpg")</f>
        <v>..\..\Imagery\ScannedPhotos\1986\JS86-208.jpg</v>
      </c>
    </row>
    <row r="1158" spans="1:13" x14ac:dyDescent="0.25">
      <c r="A1158" t="s">
        <v>3123</v>
      </c>
      <c r="B1158">
        <v>564398</v>
      </c>
      <c r="C1158">
        <v>5825194</v>
      </c>
      <c r="D1158">
        <v>21</v>
      </c>
      <c r="E1158" t="s">
        <v>15</v>
      </c>
      <c r="F1158" t="s">
        <v>3124</v>
      </c>
      <c r="G1158">
        <v>1</v>
      </c>
      <c r="H1158" t="s">
        <v>1212</v>
      </c>
      <c r="I1158" t="s">
        <v>409</v>
      </c>
      <c r="J1158" t="s">
        <v>100</v>
      </c>
      <c r="K1158" t="s">
        <v>20</v>
      </c>
      <c r="L1158" t="s">
        <v>71</v>
      </c>
      <c r="M1158" s="3" t="str">
        <f>HYPERLINK("..\..\Imagery\ScannedPhotos\1986\JS86-217.jpg")</f>
        <v>..\..\Imagery\ScannedPhotos\1986\JS86-217.jpg</v>
      </c>
    </row>
    <row r="1159" spans="1:13" x14ac:dyDescent="0.25">
      <c r="A1159" t="s">
        <v>3125</v>
      </c>
      <c r="B1159">
        <v>432234</v>
      </c>
      <c r="C1159">
        <v>6009806</v>
      </c>
      <c r="D1159">
        <v>21</v>
      </c>
      <c r="E1159" t="s">
        <v>15</v>
      </c>
      <c r="F1159" t="s">
        <v>3126</v>
      </c>
      <c r="G1159">
        <v>1</v>
      </c>
      <c r="H1159" t="s">
        <v>1006</v>
      </c>
      <c r="I1159" t="s">
        <v>304</v>
      </c>
      <c r="J1159" t="s">
        <v>652</v>
      </c>
      <c r="K1159" t="s">
        <v>20</v>
      </c>
      <c r="L1159" t="s">
        <v>3127</v>
      </c>
      <c r="M1159" s="3" t="str">
        <f>HYPERLINK("..\..\Imagery\ScannedPhotos\1980\CG80-060.jpg")</f>
        <v>..\..\Imagery\ScannedPhotos\1980\CG80-060.jpg</v>
      </c>
    </row>
    <row r="1160" spans="1:13" x14ac:dyDescent="0.25">
      <c r="A1160" t="s">
        <v>3128</v>
      </c>
      <c r="B1160">
        <v>432343</v>
      </c>
      <c r="C1160">
        <v>6009794</v>
      </c>
      <c r="D1160">
        <v>21</v>
      </c>
      <c r="E1160" t="s">
        <v>15</v>
      </c>
      <c r="F1160" t="s">
        <v>3129</v>
      </c>
      <c r="G1160">
        <v>1</v>
      </c>
      <c r="H1160" t="s">
        <v>1006</v>
      </c>
      <c r="I1160" t="s">
        <v>195</v>
      </c>
      <c r="J1160" t="s">
        <v>652</v>
      </c>
      <c r="K1160" t="s">
        <v>20</v>
      </c>
      <c r="L1160" t="s">
        <v>3130</v>
      </c>
      <c r="M1160" s="3" t="str">
        <f>HYPERLINK("..\..\Imagery\ScannedPhotos\1980\CG80-061.jpg")</f>
        <v>..\..\Imagery\ScannedPhotos\1980\CG80-061.jpg</v>
      </c>
    </row>
    <row r="1161" spans="1:13" x14ac:dyDescent="0.25">
      <c r="A1161" t="s">
        <v>3131</v>
      </c>
      <c r="B1161">
        <v>406812</v>
      </c>
      <c r="C1161">
        <v>6004126</v>
      </c>
      <c r="D1161">
        <v>21</v>
      </c>
      <c r="E1161" t="s">
        <v>15</v>
      </c>
      <c r="F1161" t="s">
        <v>3132</v>
      </c>
      <c r="G1161">
        <v>27</v>
      </c>
      <c r="H1161" t="s">
        <v>806</v>
      </c>
      <c r="I1161" t="s">
        <v>35</v>
      </c>
      <c r="J1161" t="s">
        <v>807</v>
      </c>
      <c r="K1161" t="s">
        <v>535</v>
      </c>
      <c r="L1161" t="s">
        <v>3133</v>
      </c>
      <c r="M1161" s="3" t="str">
        <f>HYPERLINK("..\..\Imagery\ScannedPhotos\1980\CG80-102.7.jpg")</f>
        <v>..\..\Imagery\ScannedPhotos\1980\CG80-102.7.jpg</v>
      </c>
    </row>
    <row r="1162" spans="1:13" x14ac:dyDescent="0.25">
      <c r="A1162" t="s">
        <v>3134</v>
      </c>
      <c r="B1162">
        <v>481685</v>
      </c>
      <c r="C1162">
        <v>5920666</v>
      </c>
      <c r="D1162">
        <v>21</v>
      </c>
      <c r="E1162" t="s">
        <v>15</v>
      </c>
      <c r="F1162" t="s">
        <v>3135</v>
      </c>
      <c r="G1162">
        <v>23</v>
      </c>
      <c r="H1162" t="s">
        <v>2284</v>
      </c>
      <c r="I1162" t="s">
        <v>375</v>
      </c>
      <c r="J1162" t="s">
        <v>3136</v>
      </c>
      <c r="K1162" t="s">
        <v>535</v>
      </c>
      <c r="L1162" t="s">
        <v>3137</v>
      </c>
      <c r="M1162" s="3" t="str">
        <f>HYPERLINK("..\..\Imagery\ScannedPhotos\2004\CG04-286.20.jpg")</f>
        <v>..\..\Imagery\ScannedPhotos\2004\CG04-286.20.jpg</v>
      </c>
    </row>
    <row r="1163" spans="1:13" x14ac:dyDescent="0.25">
      <c r="A1163" t="s">
        <v>32</v>
      </c>
      <c r="B1163">
        <v>596446</v>
      </c>
      <c r="C1163">
        <v>5792950</v>
      </c>
      <c r="D1163">
        <v>21</v>
      </c>
      <c r="E1163" t="s">
        <v>15</v>
      </c>
      <c r="F1163" t="s">
        <v>3138</v>
      </c>
      <c r="G1163">
        <v>40</v>
      </c>
      <c r="H1163" t="s">
        <v>813</v>
      </c>
      <c r="I1163" t="s">
        <v>147</v>
      </c>
      <c r="J1163" t="s">
        <v>814</v>
      </c>
      <c r="K1163" t="s">
        <v>20</v>
      </c>
      <c r="L1163" t="s">
        <v>3139</v>
      </c>
      <c r="M1163" s="3" t="str">
        <f>HYPERLINK("..\..\Imagery\ScannedPhotos\1987\CG87-488.7.jpg")</f>
        <v>..\..\Imagery\ScannedPhotos\1987\CG87-488.7.jpg</v>
      </c>
    </row>
    <row r="1164" spans="1:13" x14ac:dyDescent="0.25">
      <c r="A1164" t="s">
        <v>3140</v>
      </c>
      <c r="B1164">
        <v>507409</v>
      </c>
      <c r="C1164">
        <v>5849540</v>
      </c>
      <c r="D1164">
        <v>21</v>
      </c>
      <c r="E1164" t="s">
        <v>15</v>
      </c>
      <c r="F1164" t="s">
        <v>3141</v>
      </c>
      <c r="G1164">
        <v>2</v>
      </c>
      <c r="H1164" t="s">
        <v>1232</v>
      </c>
      <c r="I1164" t="s">
        <v>69</v>
      </c>
      <c r="J1164" t="s">
        <v>1233</v>
      </c>
      <c r="K1164" t="s">
        <v>56</v>
      </c>
      <c r="L1164" t="s">
        <v>3142</v>
      </c>
      <c r="M1164" s="3" t="str">
        <f>HYPERLINK("..\..\Imagery\ScannedPhotos\1986\CG86-199.2.jpg")</f>
        <v>..\..\Imagery\ScannedPhotos\1986\CG86-199.2.jpg</v>
      </c>
    </row>
    <row r="1165" spans="1:13" x14ac:dyDescent="0.25">
      <c r="A1165" t="s">
        <v>3143</v>
      </c>
      <c r="B1165">
        <v>524766</v>
      </c>
      <c r="C1165">
        <v>5847031</v>
      </c>
      <c r="D1165">
        <v>21</v>
      </c>
      <c r="E1165" t="s">
        <v>15</v>
      </c>
      <c r="F1165" t="s">
        <v>3144</v>
      </c>
      <c r="G1165">
        <v>1</v>
      </c>
      <c r="H1165" t="s">
        <v>1232</v>
      </c>
      <c r="I1165" t="s">
        <v>119</v>
      </c>
      <c r="J1165" t="s">
        <v>1233</v>
      </c>
      <c r="K1165" t="s">
        <v>56</v>
      </c>
      <c r="L1165" t="s">
        <v>3145</v>
      </c>
      <c r="M1165" s="3" t="str">
        <f>HYPERLINK("..\..\Imagery\ScannedPhotos\1986\CG86-217.jpg")</f>
        <v>..\..\Imagery\ScannedPhotos\1986\CG86-217.jpg</v>
      </c>
    </row>
    <row r="1166" spans="1:13" x14ac:dyDescent="0.25">
      <c r="A1166" t="s">
        <v>3146</v>
      </c>
      <c r="B1166">
        <v>499717</v>
      </c>
      <c r="C1166">
        <v>5791130</v>
      </c>
      <c r="D1166">
        <v>21</v>
      </c>
      <c r="E1166" t="s">
        <v>15</v>
      </c>
      <c r="F1166" t="s">
        <v>3147</v>
      </c>
      <c r="G1166">
        <v>6</v>
      </c>
      <c r="H1166" t="s">
        <v>1095</v>
      </c>
      <c r="I1166" t="s">
        <v>304</v>
      </c>
      <c r="J1166" t="s">
        <v>1096</v>
      </c>
      <c r="K1166" t="s">
        <v>56</v>
      </c>
      <c r="L1166" t="s">
        <v>3148</v>
      </c>
      <c r="M1166" s="3" t="str">
        <f>HYPERLINK("..\..\Imagery\ScannedPhotos\1992\VN92-070.1.jpg")</f>
        <v>..\..\Imagery\ScannedPhotos\1992\VN92-070.1.jpg</v>
      </c>
    </row>
    <row r="1167" spans="1:13" x14ac:dyDescent="0.25">
      <c r="A1167" t="s">
        <v>3146</v>
      </c>
      <c r="B1167">
        <v>499717</v>
      </c>
      <c r="C1167">
        <v>5791130</v>
      </c>
      <c r="D1167">
        <v>21</v>
      </c>
      <c r="E1167" t="s">
        <v>15</v>
      </c>
      <c r="F1167" t="s">
        <v>3149</v>
      </c>
      <c r="G1167">
        <v>6</v>
      </c>
      <c r="H1167" t="s">
        <v>1095</v>
      </c>
      <c r="I1167" t="s">
        <v>195</v>
      </c>
      <c r="J1167" t="s">
        <v>1096</v>
      </c>
      <c r="K1167" t="s">
        <v>20</v>
      </c>
      <c r="L1167" t="s">
        <v>3150</v>
      </c>
      <c r="M1167" s="3" t="str">
        <f>HYPERLINK("..\..\Imagery\ScannedPhotos\1992\VN92-070.2.jpg")</f>
        <v>..\..\Imagery\ScannedPhotos\1992\VN92-070.2.jpg</v>
      </c>
    </row>
    <row r="1168" spans="1:13" x14ac:dyDescent="0.25">
      <c r="A1168" t="s">
        <v>3146</v>
      </c>
      <c r="B1168">
        <v>499717</v>
      </c>
      <c r="C1168">
        <v>5791130</v>
      </c>
      <c r="D1168">
        <v>21</v>
      </c>
      <c r="E1168" t="s">
        <v>15</v>
      </c>
      <c r="F1168" t="s">
        <v>3151</v>
      </c>
      <c r="G1168">
        <v>6</v>
      </c>
      <c r="H1168" t="s">
        <v>1095</v>
      </c>
      <c r="I1168" t="s">
        <v>360</v>
      </c>
      <c r="J1168" t="s">
        <v>1096</v>
      </c>
      <c r="K1168" t="s">
        <v>20</v>
      </c>
      <c r="L1168" t="s">
        <v>3152</v>
      </c>
      <c r="M1168" s="3" t="str">
        <f>HYPERLINK("..\..\Imagery\ScannedPhotos\1992\VN92-070.4.jpg")</f>
        <v>..\..\Imagery\ScannedPhotos\1992\VN92-070.4.jpg</v>
      </c>
    </row>
    <row r="1169" spans="1:13" x14ac:dyDescent="0.25">
      <c r="A1169" t="s">
        <v>3153</v>
      </c>
      <c r="B1169">
        <v>448012</v>
      </c>
      <c r="C1169">
        <v>6023689</v>
      </c>
      <c r="D1169">
        <v>21</v>
      </c>
      <c r="E1169" t="s">
        <v>15</v>
      </c>
      <c r="F1169" t="s">
        <v>3154</v>
      </c>
      <c r="G1169">
        <v>4</v>
      </c>
      <c r="H1169" t="s">
        <v>1862</v>
      </c>
      <c r="I1169" t="s">
        <v>119</v>
      </c>
      <c r="J1169" t="s">
        <v>1863</v>
      </c>
      <c r="K1169" t="s">
        <v>20</v>
      </c>
      <c r="L1169" t="s">
        <v>3155</v>
      </c>
      <c r="M1169" s="3" t="str">
        <f>HYPERLINK("..\..\Imagery\ScannedPhotos\1979\CG79-797.4.jpg")</f>
        <v>..\..\Imagery\ScannedPhotos\1979\CG79-797.4.jpg</v>
      </c>
    </row>
    <row r="1170" spans="1:13" x14ac:dyDescent="0.25">
      <c r="A1170" t="s">
        <v>3156</v>
      </c>
      <c r="B1170">
        <v>529988</v>
      </c>
      <c r="C1170">
        <v>5956544</v>
      </c>
      <c r="D1170">
        <v>21</v>
      </c>
      <c r="E1170" t="s">
        <v>15</v>
      </c>
      <c r="F1170" t="s">
        <v>3157</v>
      </c>
      <c r="G1170">
        <v>4</v>
      </c>
      <c r="H1170" t="s">
        <v>3158</v>
      </c>
      <c r="I1170" t="s">
        <v>137</v>
      </c>
      <c r="J1170" t="s">
        <v>48</v>
      </c>
      <c r="K1170" t="s">
        <v>20</v>
      </c>
      <c r="L1170" t="s">
        <v>3159</v>
      </c>
      <c r="M1170" s="3" t="str">
        <f>HYPERLINK("..\..\Imagery\ScannedPhotos\1981\VO81-147.2.jpg")</f>
        <v>..\..\Imagery\ScannedPhotos\1981\VO81-147.2.jpg</v>
      </c>
    </row>
    <row r="1171" spans="1:13" x14ac:dyDescent="0.25">
      <c r="A1171" t="s">
        <v>3160</v>
      </c>
      <c r="B1171">
        <v>561592</v>
      </c>
      <c r="C1171">
        <v>5848575</v>
      </c>
      <c r="D1171">
        <v>21</v>
      </c>
      <c r="E1171" t="s">
        <v>15</v>
      </c>
      <c r="F1171" t="s">
        <v>3161</v>
      </c>
      <c r="G1171">
        <v>4</v>
      </c>
      <c r="H1171" t="s">
        <v>3162</v>
      </c>
      <c r="I1171" t="s">
        <v>25</v>
      </c>
      <c r="J1171" t="s">
        <v>3163</v>
      </c>
      <c r="K1171" t="s">
        <v>20</v>
      </c>
      <c r="L1171" t="s">
        <v>356</v>
      </c>
      <c r="M1171" s="3" t="str">
        <f>HYPERLINK("..\..\Imagery\ScannedPhotos\1986\SN86-345.4.jpg")</f>
        <v>..\..\Imagery\ScannedPhotos\1986\SN86-345.4.jpg</v>
      </c>
    </row>
    <row r="1172" spans="1:13" x14ac:dyDescent="0.25">
      <c r="A1172" t="s">
        <v>3164</v>
      </c>
      <c r="B1172">
        <v>455000</v>
      </c>
      <c r="C1172">
        <v>5880140</v>
      </c>
      <c r="D1172">
        <v>21</v>
      </c>
      <c r="E1172" t="s">
        <v>15</v>
      </c>
      <c r="F1172" t="s">
        <v>3165</v>
      </c>
      <c r="G1172">
        <v>2</v>
      </c>
      <c r="H1172" t="s">
        <v>2395</v>
      </c>
      <c r="I1172" t="s">
        <v>418</v>
      </c>
      <c r="J1172" t="s">
        <v>2247</v>
      </c>
      <c r="K1172" t="s">
        <v>20</v>
      </c>
      <c r="L1172" t="s">
        <v>3166</v>
      </c>
      <c r="M1172" s="3" t="str">
        <f>HYPERLINK("..\..\Imagery\ScannedPhotos\1984\VN84-520.1.jpg")</f>
        <v>..\..\Imagery\ScannedPhotos\1984\VN84-520.1.jpg</v>
      </c>
    </row>
    <row r="1173" spans="1:13" x14ac:dyDescent="0.25">
      <c r="A1173" t="s">
        <v>3164</v>
      </c>
      <c r="B1173">
        <v>455000</v>
      </c>
      <c r="C1173">
        <v>5880140</v>
      </c>
      <c r="D1173">
        <v>21</v>
      </c>
      <c r="E1173" t="s">
        <v>15</v>
      </c>
      <c r="F1173" t="s">
        <v>3167</v>
      </c>
      <c r="G1173">
        <v>2</v>
      </c>
      <c r="H1173" t="s">
        <v>2395</v>
      </c>
      <c r="I1173" t="s">
        <v>304</v>
      </c>
      <c r="J1173" t="s">
        <v>2247</v>
      </c>
      <c r="K1173" t="s">
        <v>56</v>
      </c>
      <c r="L1173" t="s">
        <v>3168</v>
      </c>
      <c r="M1173" s="3" t="str">
        <f>HYPERLINK("..\..\Imagery\ScannedPhotos\1984\VN84-520.2.jpg")</f>
        <v>..\..\Imagery\ScannedPhotos\1984\VN84-520.2.jpg</v>
      </c>
    </row>
    <row r="1174" spans="1:13" x14ac:dyDescent="0.25">
      <c r="A1174" t="s">
        <v>3169</v>
      </c>
      <c r="B1174">
        <v>464608</v>
      </c>
      <c r="C1174">
        <v>5886397</v>
      </c>
      <c r="D1174">
        <v>21</v>
      </c>
      <c r="E1174" t="s">
        <v>15</v>
      </c>
      <c r="F1174" t="s">
        <v>3170</v>
      </c>
      <c r="G1174">
        <v>1</v>
      </c>
      <c r="H1174" t="s">
        <v>2395</v>
      </c>
      <c r="I1174" t="s">
        <v>195</v>
      </c>
      <c r="J1174" t="s">
        <v>2247</v>
      </c>
      <c r="K1174" t="s">
        <v>56</v>
      </c>
      <c r="L1174" t="s">
        <v>3171</v>
      </c>
      <c r="M1174" s="3" t="str">
        <f>HYPERLINK("..\..\Imagery\ScannedPhotos\1984\VN84-543.jpg")</f>
        <v>..\..\Imagery\ScannedPhotos\1984\VN84-543.jpg</v>
      </c>
    </row>
    <row r="1175" spans="1:13" x14ac:dyDescent="0.25">
      <c r="A1175" t="s">
        <v>3172</v>
      </c>
      <c r="B1175">
        <v>554991</v>
      </c>
      <c r="C1175">
        <v>5875934</v>
      </c>
      <c r="D1175">
        <v>21</v>
      </c>
      <c r="E1175" t="s">
        <v>15</v>
      </c>
      <c r="F1175" t="s">
        <v>3173</v>
      </c>
      <c r="G1175">
        <v>1</v>
      </c>
      <c r="H1175" t="s">
        <v>3174</v>
      </c>
      <c r="I1175" t="s">
        <v>147</v>
      </c>
      <c r="J1175" t="s">
        <v>1797</v>
      </c>
      <c r="K1175" t="s">
        <v>20</v>
      </c>
      <c r="L1175" t="s">
        <v>2573</v>
      </c>
      <c r="M1175" s="3" t="str">
        <f>HYPERLINK("..\..\Imagery\ScannedPhotos\1985\VN85-379.jpg")</f>
        <v>..\..\Imagery\ScannedPhotos\1985\VN85-379.jpg</v>
      </c>
    </row>
    <row r="1176" spans="1:13" x14ac:dyDescent="0.25">
      <c r="A1176" t="s">
        <v>3175</v>
      </c>
      <c r="B1176">
        <v>481350</v>
      </c>
      <c r="C1176">
        <v>5809300</v>
      </c>
      <c r="D1176">
        <v>21</v>
      </c>
      <c r="E1176" t="s">
        <v>15</v>
      </c>
      <c r="F1176" t="s">
        <v>3176</v>
      </c>
      <c r="G1176">
        <v>2</v>
      </c>
      <c r="H1176" t="s">
        <v>1095</v>
      </c>
      <c r="I1176" t="s">
        <v>85</v>
      </c>
      <c r="J1176" t="s">
        <v>1096</v>
      </c>
      <c r="K1176" t="s">
        <v>20</v>
      </c>
      <c r="L1176" t="s">
        <v>3177</v>
      </c>
      <c r="M1176" s="3" t="str">
        <f>HYPERLINK("..\..\Imagery\ScannedPhotos\1992\VN92-045.1.jpg")</f>
        <v>..\..\Imagery\ScannedPhotos\1992\VN92-045.1.jpg</v>
      </c>
    </row>
    <row r="1177" spans="1:13" x14ac:dyDescent="0.25">
      <c r="A1177" t="s">
        <v>3178</v>
      </c>
      <c r="B1177">
        <v>498800</v>
      </c>
      <c r="C1177">
        <v>5816150</v>
      </c>
      <c r="D1177">
        <v>21</v>
      </c>
      <c r="E1177" t="s">
        <v>15</v>
      </c>
      <c r="F1177" t="s">
        <v>3179</v>
      </c>
      <c r="G1177">
        <v>2</v>
      </c>
      <c r="H1177" t="s">
        <v>1095</v>
      </c>
      <c r="I1177" t="s">
        <v>209</v>
      </c>
      <c r="J1177" t="s">
        <v>1096</v>
      </c>
      <c r="K1177" t="s">
        <v>56</v>
      </c>
      <c r="L1177" t="s">
        <v>3180</v>
      </c>
      <c r="M1177" s="3" t="str">
        <f>HYPERLINK("..\..\Imagery\ScannedPhotos\1992\VN92-047.2.jpg")</f>
        <v>..\..\Imagery\ScannedPhotos\1992\VN92-047.2.jpg</v>
      </c>
    </row>
    <row r="1178" spans="1:13" x14ac:dyDescent="0.25">
      <c r="A1178" t="s">
        <v>3178</v>
      </c>
      <c r="B1178">
        <v>498800</v>
      </c>
      <c r="C1178">
        <v>5816150</v>
      </c>
      <c r="D1178">
        <v>21</v>
      </c>
      <c r="E1178" t="s">
        <v>15</v>
      </c>
      <c r="F1178" t="s">
        <v>3181</v>
      </c>
      <c r="G1178">
        <v>2</v>
      </c>
      <c r="H1178" t="s">
        <v>1095</v>
      </c>
      <c r="I1178" t="s">
        <v>94</v>
      </c>
      <c r="J1178" t="s">
        <v>1096</v>
      </c>
      <c r="K1178" t="s">
        <v>20</v>
      </c>
      <c r="L1178" t="s">
        <v>3182</v>
      </c>
      <c r="M1178" s="3" t="str">
        <f>HYPERLINK("..\..\Imagery\ScannedPhotos\1992\VN92-047.1.jpg")</f>
        <v>..\..\Imagery\ScannedPhotos\1992\VN92-047.1.jpg</v>
      </c>
    </row>
    <row r="1179" spans="1:13" x14ac:dyDescent="0.25">
      <c r="A1179" t="s">
        <v>3183</v>
      </c>
      <c r="B1179">
        <v>485250</v>
      </c>
      <c r="C1179">
        <v>5813371</v>
      </c>
      <c r="D1179">
        <v>21</v>
      </c>
      <c r="E1179" t="s">
        <v>15</v>
      </c>
      <c r="F1179" t="s">
        <v>3184</v>
      </c>
      <c r="G1179">
        <v>1</v>
      </c>
      <c r="H1179" t="s">
        <v>1095</v>
      </c>
      <c r="I1179" t="s">
        <v>386</v>
      </c>
      <c r="J1179" t="s">
        <v>1096</v>
      </c>
      <c r="K1179" t="s">
        <v>56</v>
      </c>
      <c r="L1179" t="s">
        <v>3185</v>
      </c>
      <c r="M1179" s="3" t="str">
        <f>HYPERLINK("..\..\Imagery\ScannedPhotos\1992\VN92-052.jpg")</f>
        <v>..\..\Imagery\ScannedPhotos\1992\VN92-052.jpg</v>
      </c>
    </row>
    <row r="1180" spans="1:13" x14ac:dyDescent="0.25">
      <c r="A1180" t="s">
        <v>3186</v>
      </c>
      <c r="B1180">
        <v>488147</v>
      </c>
      <c r="C1180">
        <v>5812932</v>
      </c>
      <c r="D1180">
        <v>21</v>
      </c>
      <c r="E1180" t="s">
        <v>15</v>
      </c>
      <c r="F1180" t="s">
        <v>3187</v>
      </c>
      <c r="G1180">
        <v>1</v>
      </c>
      <c r="H1180" t="s">
        <v>1095</v>
      </c>
      <c r="I1180" t="s">
        <v>217</v>
      </c>
      <c r="J1180" t="s">
        <v>1096</v>
      </c>
      <c r="K1180" t="s">
        <v>56</v>
      </c>
      <c r="L1180" t="s">
        <v>3180</v>
      </c>
      <c r="M1180" s="3" t="str">
        <f>HYPERLINK("..\..\Imagery\ScannedPhotos\1992\VN92-053.jpg")</f>
        <v>..\..\Imagery\ScannedPhotos\1992\VN92-053.jpg</v>
      </c>
    </row>
    <row r="1181" spans="1:13" x14ac:dyDescent="0.25">
      <c r="A1181" t="s">
        <v>3188</v>
      </c>
      <c r="B1181">
        <v>583868</v>
      </c>
      <c r="C1181">
        <v>5811562</v>
      </c>
      <c r="D1181">
        <v>21</v>
      </c>
      <c r="E1181" t="s">
        <v>15</v>
      </c>
      <c r="F1181" t="s">
        <v>3189</v>
      </c>
      <c r="G1181">
        <v>2</v>
      </c>
      <c r="H1181" t="s">
        <v>2106</v>
      </c>
      <c r="I1181" t="s">
        <v>122</v>
      </c>
      <c r="J1181" t="s">
        <v>2107</v>
      </c>
      <c r="K1181" t="s">
        <v>56</v>
      </c>
      <c r="L1181" t="s">
        <v>3190</v>
      </c>
      <c r="M1181" s="3" t="str">
        <f>HYPERLINK("..\..\Imagery\ScannedPhotos\1987\CG87-150.1.jpg")</f>
        <v>..\..\Imagery\ScannedPhotos\1987\CG87-150.1.jpg</v>
      </c>
    </row>
    <row r="1182" spans="1:13" x14ac:dyDescent="0.25">
      <c r="A1182" t="s">
        <v>3191</v>
      </c>
      <c r="B1182">
        <v>509037</v>
      </c>
      <c r="C1182">
        <v>5894270</v>
      </c>
      <c r="D1182">
        <v>21</v>
      </c>
      <c r="E1182" t="s">
        <v>15</v>
      </c>
      <c r="F1182" t="s">
        <v>3192</v>
      </c>
      <c r="G1182">
        <v>5</v>
      </c>
      <c r="H1182" t="s">
        <v>2106</v>
      </c>
      <c r="I1182" t="s">
        <v>47</v>
      </c>
      <c r="J1182" t="s">
        <v>2107</v>
      </c>
      <c r="K1182" t="s">
        <v>535</v>
      </c>
      <c r="L1182" t="s">
        <v>3193</v>
      </c>
      <c r="M1182" s="3" t="str">
        <f>HYPERLINK("..\..\Imagery\ScannedPhotos\1987\CG87-164.5.jpg")</f>
        <v>..\..\Imagery\ScannedPhotos\1987\CG87-164.5.jpg</v>
      </c>
    </row>
    <row r="1183" spans="1:13" x14ac:dyDescent="0.25">
      <c r="A1183" t="s">
        <v>3191</v>
      </c>
      <c r="B1183">
        <v>509037</v>
      </c>
      <c r="C1183">
        <v>5894270</v>
      </c>
      <c r="D1183">
        <v>21</v>
      </c>
      <c r="E1183" t="s">
        <v>15</v>
      </c>
      <c r="F1183" t="s">
        <v>3194</v>
      </c>
      <c r="G1183">
        <v>5</v>
      </c>
      <c r="H1183" t="s">
        <v>2106</v>
      </c>
      <c r="I1183" t="s">
        <v>132</v>
      </c>
      <c r="J1183" t="s">
        <v>2107</v>
      </c>
      <c r="K1183" t="s">
        <v>56</v>
      </c>
      <c r="L1183" t="s">
        <v>3195</v>
      </c>
      <c r="M1183" s="3" t="str">
        <f>HYPERLINK("..\..\Imagery\ScannedPhotos\1987\CG87-164.1.jpg")</f>
        <v>..\..\Imagery\ScannedPhotos\1987\CG87-164.1.jpg</v>
      </c>
    </row>
    <row r="1184" spans="1:13" x14ac:dyDescent="0.25">
      <c r="A1184" t="s">
        <v>3191</v>
      </c>
      <c r="B1184">
        <v>509037</v>
      </c>
      <c r="C1184">
        <v>5894270</v>
      </c>
      <c r="D1184">
        <v>21</v>
      </c>
      <c r="E1184" t="s">
        <v>15</v>
      </c>
      <c r="F1184" t="s">
        <v>3196</v>
      </c>
      <c r="G1184">
        <v>5</v>
      </c>
      <c r="H1184" t="s">
        <v>2106</v>
      </c>
      <c r="I1184" t="s">
        <v>143</v>
      </c>
      <c r="J1184" t="s">
        <v>2107</v>
      </c>
      <c r="K1184" t="s">
        <v>20</v>
      </c>
      <c r="L1184" t="s">
        <v>3195</v>
      </c>
      <c r="M1184" s="3" t="str">
        <f>HYPERLINK("..\..\Imagery\ScannedPhotos\1987\CG87-164.3.jpg")</f>
        <v>..\..\Imagery\ScannedPhotos\1987\CG87-164.3.jpg</v>
      </c>
    </row>
    <row r="1185" spans="1:13" x14ac:dyDescent="0.25">
      <c r="A1185" t="s">
        <v>3191</v>
      </c>
      <c r="B1185">
        <v>509037</v>
      </c>
      <c r="C1185">
        <v>5894270</v>
      </c>
      <c r="D1185">
        <v>21</v>
      </c>
      <c r="E1185" t="s">
        <v>15</v>
      </c>
      <c r="F1185" t="s">
        <v>3197</v>
      </c>
      <c r="G1185">
        <v>5</v>
      </c>
      <c r="H1185" t="s">
        <v>2106</v>
      </c>
      <c r="I1185" t="s">
        <v>129</v>
      </c>
      <c r="J1185" t="s">
        <v>2107</v>
      </c>
      <c r="K1185" t="s">
        <v>20</v>
      </c>
      <c r="L1185" t="s">
        <v>3195</v>
      </c>
      <c r="M1185" s="3" t="str">
        <f>HYPERLINK("..\..\Imagery\ScannedPhotos\1987\CG87-164.2.jpg")</f>
        <v>..\..\Imagery\ScannedPhotos\1987\CG87-164.2.jpg</v>
      </c>
    </row>
    <row r="1186" spans="1:13" x14ac:dyDescent="0.25">
      <c r="A1186" t="s">
        <v>2757</v>
      </c>
      <c r="B1186">
        <v>494375</v>
      </c>
      <c r="C1186">
        <v>5820375</v>
      </c>
      <c r="D1186">
        <v>21</v>
      </c>
      <c r="E1186" t="s">
        <v>15</v>
      </c>
      <c r="F1186" t="s">
        <v>3198</v>
      </c>
      <c r="G1186">
        <v>3</v>
      </c>
      <c r="H1186" t="s">
        <v>792</v>
      </c>
      <c r="I1186" t="s">
        <v>386</v>
      </c>
      <c r="J1186" t="s">
        <v>793</v>
      </c>
      <c r="K1186" t="s">
        <v>20</v>
      </c>
      <c r="L1186" t="s">
        <v>2759</v>
      </c>
      <c r="M1186" s="3" t="str">
        <f>HYPERLINK("..\..\Imagery\ScannedPhotos\1991\VN91-301.2.jpg")</f>
        <v>..\..\Imagery\ScannedPhotos\1991\VN91-301.2.jpg</v>
      </c>
    </row>
    <row r="1187" spans="1:13" x14ac:dyDescent="0.25">
      <c r="A1187" t="s">
        <v>3199</v>
      </c>
      <c r="B1187">
        <v>583662</v>
      </c>
      <c r="C1187">
        <v>5819560</v>
      </c>
      <c r="D1187">
        <v>21</v>
      </c>
      <c r="E1187" t="s">
        <v>15</v>
      </c>
      <c r="F1187" t="s">
        <v>3200</v>
      </c>
      <c r="G1187">
        <v>3</v>
      </c>
      <c r="H1187" t="s">
        <v>3201</v>
      </c>
      <c r="I1187" t="s">
        <v>195</v>
      </c>
      <c r="J1187" t="s">
        <v>3202</v>
      </c>
      <c r="K1187" t="s">
        <v>20</v>
      </c>
      <c r="L1187" t="s">
        <v>2996</v>
      </c>
      <c r="M1187" s="3" t="str">
        <f>HYPERLINK("..\..\Imagery\ScannedPhotos\1986\SN86-409.3.jpg")</f>
        <v>..\..\Imagery\ScannedPhotos\1986\SN86-409.3.jpg</v>
      </c>
    </row>
    <row r="1188" spans="1:13" x14ac:dyDescent="0.25">
      <c r="A1188" t="s">
        <v>3199</v>
      </c>
      <c r="B1188">
        <v>583662</v>
      </c>
      <c r="C1188">
        <v>5819560</v>
      </c>
      <c r="D1188">
        <v>21</v>
      </c>
      <c r="E1188" t="s">
        <v>15</v>
      </c>
      <c r="F1188" t="s">
        <v>3203</v>
      </c>
      <c r="G1188">
        <v>3</v>
      </c>
      <c r="H1188" t="s">
        <v>3201</v>
      </c>
      <c r="I1188" t="s">
        <v>418</v>
      </c>
      <c r="J1188" t="s">
        <v>3202</v>
      </c>
      <c r="K1188" t="s">
        <v>56</v>
      </c>
      <c r="L1188" t="s">
        <v>2996</v>
      </c>
      <c r="M1188" s="3" t="str">
        <f>HYPERLINK("..\..\Imagery\ScannedPhotos\1986\SN86-409.1.jpg")</f>
        <v>..\..\Imagery\ScannedPhotos\1986\SN86-409.1.jpg</v>
      </c>
    </row>
    <row r="1189" spans="1:13" x14ac:dyDescent="0.25">
      <c r="A1189" t="s">
        <v>3199</v>
      </c>
      <c r="B1189">
        <v>583662</v>
      </c>
      <c r="C1189">
        <v>5819560</v>
      </c>
      <c r="D1189">
        <v>21</v>
      </c>
      <c r="E1189" t="s">
        <v>15</v>
      </c>
      <c r="F1189" t="s">
        <v>3204</v>
      </c>
      <c r="G1189">
        <v>3</v>
      </c>
      <c r="H1189" t="s">
        <v>3201</v>
      </c>
      <c r="I1189" t="s">
        <v>304</v>
      </c>
      <c r="J1189" t="s">
        <v>3202</v>
      </c>
      <c r="K1189" t="s">
        <v>20</v>
      </c>
      <c r="L1189" t="s">
        <v>2996</v>
      </c>
      <c r="M1189" s="3" t="str">
        <f>HYPERLINK("..\..\Imagery\ScannedPhotos\1986\SN86-409.2.jpg")</f>
        <v>..\..\Imagery\ScannedPhotos\1986\SN86-409.2.jpg</v>
      </c>
    </row>
    <row r="1190" spans="1:13" x14ac:dyDescent="0.25">
      <c r="A1190" t="s">
        <v>596</v>
      </c>
      <c r="B1190">
        <v>520167</v>
      </c>
      <c r="C1190">
        <v>5717375</v>
      </c>
      <c r="D1190">
        <v>21</v>
      </c>
      <c r="E1190" t="s">
        <v>15</v>
      </c>
      <c r="F1190" t="s">
        <v>3205</v>
      </c>
      <c r="G1190">
        <v>4</v>
      </c>
      <c r="H1190" t="s">
        <v>569</v>
      </c>
      <c r="I1190" t="s">
        <v>386</v>
      </c>
      <c r="J1190" t="s">
        <v>570</v>
      </c>
      <c r="K1190" t="s">
        <v>20</v>
      </c>
      <c r="L1190" t="s">
        <v>598</v>
      </c>
      <c r="M1190" s="3" t="str">
        <f>HYPERLINK("..\..\Imagery\ScannedPhotos\1993\CG93-206.1.jpg")</f>
        <v>..\..\Imagery\ScannedPhotos\1993\CG93-206.1.jpg</v>
      </c>
    </row>
    <row r="1191" spans="1:13" x14ac:dyDescent="0.25">
      <c r="A1191" t="s">
        <v>3206</v>
      </c>
      <c r="B1191">
        <v>388687</v>
      </c>
      <c r="C1191">
        <v>5999998</v>
      </c>
      <c r="D1191">
        <v>21</v>
      </c>
      <c r="E1191" t="s">
        <v>15</v>
      </c>
      <c r="F1191" t="s">
        <v>3207</v>
      </c>
      <c r="G1191">
        <v>6</v>
      </c>
      <c r="H1191" t="s">
        <v>651</v>
      </c>
      <c r="I1191" t="s">
        <v>418</v>
      </c>
      <c r="J1191" t="s">
        <v>652</v>
      </c>
      <c r="K1191" t="s">
        <v>20</v>
      </c>
      <c r="L1191" t="s">
        <v>867</v>
      </c>
      <c r="M1191" s="3" t="str">
        <f>HYPERLINK("..\..\Imagery\ScannedPhotos\1980\NN80-058.2.jpg")</f>
        <v>..\..\Imagery\ScannedPhotos\1980\NN80-058.2.jpg</v>
      </c>
    </row>
    <row r="1192" spans="1:13" x14ac:dyDescent="0.25">
      <c r="A1192" t="s">
        <v>3206</v>
      </c>
      <c r="B1192">
        <v>388687</v>
      </c>
      <c r="C1192">
        <v>5999998</v>
      </c>
      <c r="D1192">
        <v>21</v>
      </c>
      <c r="E1192" t="s">
        <v>15</v>
      </c>
      <c r="F1192" t="s">
        <v>3208</v>
      </c>
      <c r="G1192">
        <v>6</v>
      </c>
      <c r="H1192" t="s">
        <v>651</v>
      </c>
      <c r="I1192" t="s">
        <v>304</v>
      </c>
      <c r="J1192" t="s">
        <v>652</v>
      </c>
      <c r="K1192" t="s">
        <v>20</v>
      </c>
      <c r="L1192" t="s">
        <v>867</v>
      </c>
      <c r="M1192" s="3" t="str">
        <f>HYPERLINK("..\..\Imagery\ScannedPhotos\1980\NN80-058.3.jpg")</f>
        <v>..\..\Imagery\ScannedPhotos\1980\NN80-058.3.jpg</v>
      </c>
    </row>
    <row r="1193" spans="1:13" x14ac:dyDescent="0.25">
      <c r="A1193" t="s">
        <v>3209</v>
      </c>
      <c r="B1193">
        <v>588590</v>
      </c>
      <c r="C1193">
        <v>5770797</v>
      </c>
      <c r="D1193">
        <v>21</v>
      </c>
      <c r="E1193" t="s">
        <v>15</v>
      </c>
      <c r="F1193" t="s">
        <v>3210</v>
      </c>
      <c r="G1193">
        <v>3</v>
      </c>
      <c r="H1193" t="s">
        <v>1688</v>
      </c>
      <c r="I1193" t="s">
        <v>281</v>
      </c>
      <c r="J1193" t="s">
        <v>1052</v>
      </c>
      <c r="K1193" t="s">
        <v>20</v>
      </c>
      <c r="L1193" t="s">
        <v>3211</v>
      </c>
      <c r="M1193" s="3" t="str">
        <f>HYPERLINK("..\..\Imagery\ScannedPhotos\1987\VN87-338.2.jpg")</f>
        <v>..\..\Imagery\ScannedPhotos\1987\VN87-338.2.jpg</v>
      </c>
    </row>
    <row r="1194" spans="1:13" x14ac:dyDescent="0.25">
      <c r="A1194" t="s">
        <v>3212</v>
      </c>
      <c r="B1194">
        <v>589046</v>
      </c>
      <c r="C1194">
        <v>5771442</v>
      </c>
      <c r="D1194">
        <v>21</v>
      </c>
      <c r="E1194" t="s">
        <v>15</v>
      </c>
      <c r="F1194" t="s">
        <v>3213</v>
      </c>
      <c r="G1194">
        <v>1</v>
      </c>
      <c r="H1194" t="s">
        <v>1688</v>
      </c>
      <c r="I1194" t="s">
        <v>18</v>
      </c>
      <c r="J1194" t="s">
        <v>1052</v>
      </c>
      <c r="K1194" t="s">
        <v>20</v>
      </c>
      <c r="L1194" t="s">
        <v>3214</v>
      </c>
      <c r="M1194" s="3" t="str">
        <f>HYPERLINK("..\..\Imagery\ScannedPhotos\1987\VN87-340.jpg")</f>
        <v>..\..\Imagery\ScannedPhotos\1987\VN87-340.jpg</v>
      </c>
    </row>
    <row r="1195" spans="1:13" x14ac:dyDescent="0.25">
      <c r="A1195" t="s">
        <v>3215</v>
      </c>
      <c r="B1195">
        <v>588908</v>
      </c>
      <c r="C1195">
        <v>5771701</v>
      </c>
      <c r="D1195">
        <v>21</v>
      </c>
      <c r="E1195" t="s">
        <v>15</v>
      </c>
      <c r="F1195" t="s">
        <v>3216</v>
      </c>
      <c r="G1195">
        <v>1</v>
      </c>
      <c r="H1195" t="s">
        <v>1688</v>
      </c>
      <c r="I1195" t="s">
        <v>35</v>
      </c>
      <c r="J1195" t="s">
        <v>1052</v>
      </c>
      <c r="K1195" t="s">
        <v>20</v>
      </c>
      <c r="L1195" t="s">
        <v>3217</v>
      </c>
      <c r="M1195" s="3" t="str">
        <f>HYPERLINK("..\..\Imagery\ScannedPhotos\1987\VN87-342.jpg")</f>
        <v>..\..\Imagery\ScannedPhotos\1987\VN87-342.jpg</v>
      </c>
    </row>
    <row r="1196" spans="1:13" x14ac:dyDescent="0.25">
      <c r="A1196" t="s">
        <v>3218</v>
      </c>
      <c r="B1196">
        <v>588825</v>
      </c>
      <c r="C1196">
        <v>5772785</v>
      </c>
      <c r="D1196">
        <v>21</v>
      </c>
      <c r="E1196" t="s">
        <v>15</v>
      </c>
      <c r="F1196" t="s">
        <v>3219</v>
      </c>
      <c r="G1196">
        <v>1</v>
      </c>
      <c r="H1196" t="s">
        <v>1688</v>
      </c>
      <c r="I1196" t="s">
        <v>69</v>
      </c>
      <c r="J1196" t="s">
        <v>1052</v>
      </c>
      <c r="K1196" t="s">
        <v>20</v>
      </c>
      <c r="L1196" t="s">
        <v>3220</v>
      </c>
      <c r="M1196" s="3" t="str">
        <f>HYPERLINK("..\..\Imagery\ScannedPhotos\1987\VN87-346.jpg")</f>
        <v>..\..\Imagery\ScannedPhotos\1987\VN87-346.jpg</v>
      </c>
    </row>
    <row r="1197" spans="1:13" x14ac:dyDescent="0.25">
      <c r="A1197" t="s">
        <v>3221</v>
      </c>
      <c r="B1197">
        <v>542979</v>
      </c>
      <c r="C1197">
        <v>5807993</v>
      </c>
      <c r="D1197">
        <v>21</v>
      </c>
      <c r="E1197" t="s">
        <v>15</v>
      </c>
      <c r="F1197" t="s">
        <v>3222</v>
      </c>
      <c r="G1197">
        <v>1</v>
      </c>
      <c r="H1197" t="s">
        <v>1688</v>
      </c>
      <c r="I1197" t="s">
        <v>74</v>
      </c>
      <c r="J1197" t="s">
        <v>1052</v>
      </c>
      <c r="K1197" t="s">
        <v>20</v>
      </c>
      <c r="L1197" t="s">
        <v>3223</v>
      </c>
      <c r="M1197" s="3" t="str">
        <f>HYPERLINK("..\..\Imagery\ScannedPhotos\1987\VN87-355.jpg")</f>
        <v>..\..\Imagery\ScannedPhotos\1987\VN87-355.jpg</v>
      </c>
    </row>
    <row r="1198" spans="1:13" x14ac:dyDescent="0.25">
      <c r="A1198" t="s">
        <v>3224</v>
      </c>
      <c r="B1198">
        <v>497233</v>
      </c>
      <c r="C1198">
        <v>5822842</v>
      </c>
      <c r="D1198">
        <v>21</v>
      </c>
      <c r="E1198" t="s">
        <v>15</v>
      </c>
      <c r="F1198" t="s">
        <v>3225</v>
      </c>
      <c r="G1198">
        <v>1</v>
      </c>
      <c r="H1198" t="s">
        <v>792</v>
      </c>
      <c r="I1198" t="s">
        <v>360</v>
      </c>
      <c r="J1198" t="s">
        <v>793</v>
      </c>
      <c r="K1198" t="s">
        <v>20</v>
      </c>
      <c r="L1198" t="s">
        <v>3226</v>
      </c>
      <c r="M1198" s="3" t="str">
        <f>HYPERLINK("..\..\Imagery\ScannedPhotos\1991\VN91-325.jpg")</f>
        <v>..\..\Imagery\ScannedPhotos\1991\VN91-325.jpg</v>
      </c>
    </row>
    <row r="1199" spans="1:13" x14ac:dyDescent="0.25">
      <c r="A1199" t="s">
        <v>3227</v>
      </c>
      <c r="B1199">
        <v>497508</v>
      </c>
      <c r="C1199">
        <v>5823889</v>
      </c>
      <c r="D1199">
        <v>21</v>
      </c>
      <c r="E1199" t="s">
        <v>15</v>
      </c>
      <c r="F1199" t="s">
        <v>3228</v>
      </c>
      <c r="G1199">
        <v>1</v>
      </c>
      <c r="H1199" t="s">
        <v>792</v>
      </c>
      <c r="I1199" t="s">
        <v>647</v>
      </c>
      <c r="J1199" t="s">
        <v>793</v>
      </c>
      <c r="K1199" t="s">
        <v>56</v>
      </c>
      <c r="L1199" t="s">
        <v>3229</v>
      </c>
      <c r="M1199" s="3" t="str">
        <f>HYPERLINK("..\..\Imagery\ScannedPhotos\1991\VN91-329.jpg")</f>
        <v>..\..\Imagery\ScannedPhotos\1991\VN91-329.jpg</v>
      </c>
    </row>
    <row r="1200" spans="1:13" x14ac:dyDescent="0.25">
      <c r="A1200" t="s">
        <v>1102</v>
      </c>
      <c r="B1200">
        <v>497736</v>
      </c>
      <c r="C1200">
        <v>5824109</v>
      </c>
      <c r="D1200">
        <v>21</v>
      </c>
      <c r="E1200" t="s">
        <v>15</v>
      </c>
      <c r="F1200" t="s">
        <v>3230</v>
      </c>
      <c r="G1200">
        <v>2</v>
      </c>
      <c r="H1200" t="s">
        <v>792</v>
      </c>
      <c r="I1200" t="s">
        <v>114</v>
      </c>
      <c r="J1200" t="s">
        <v>793</v>
      </c>
      <c r="K1200" t="s">
        <v>56</v>
      </c>
      <c r="L1200" t="s">
        <v>3231</v>
      </c>
      <c r="M1200" s="3" t="str">
        <f>HYPERLINK("..\..\Imagery\ScannedPhotos\1991\VN91-330.2.jpg")</f>
        <v>..\..\Imagery\ScannedPhotos\1991\VN91-330.2.jpg</v>
      </c>
    </row>
    <row r="1201" spans="1:13" x14ac:dyDescent="0.25">
      <c r="A1201" t="s">
        <v>3232</v>
      </c>
      <c r="B1201">
        <v>419277</v>
      </c>
      <c r="C1201">
        <v>6007498</v>
      </c>
      <c r="D1201">
        <v>21</v>
      </c>
      <c r="E1201" t="s">
        <v>15</v>
      </c>
      <c r="F1201" t="s">
        <v>3233</v>
      </c>
      <c r="G1201">
        <v>1</v>
      </c>
      <c r="H1201" t="s">
        <v>900</v>
      </c>
      <c r="I1201" t="s">
        <v>214</v>
      </c>
      <c r="J1201" t="s">
        <v>652</v>
      </c>
      <c r="K1201" t="s">
        <v>20</v>
      </c>
      <c r="L1201" t="s">
        <v>3234</v>
      </c>
      <c r="M1201" s="3" t="str">
        <f>HYPERLINK("..\..\Imagery\ScannedPhotos\1980\RG80-018.jpg")</f>
        <v>..\..\Imagery\ScannedPhotos\1980\RG80-018.jpg</v>
      </c>
    </row>
    <row r="1202" spans="1:13" x14ac:dyDescent="0.25">
      <c r="A1202" t="s">
        <v>3235</v>
      </c>
      <c r="B1202">
        <v>457049</v>
      </c>
      <c r="C1202">
        <v>5900194</v>
      </c>
      <c r="D1202">
        <v>21</v>
      </c>
      <c r="E1202" t="s">
        <v>15</v>
      </c>
      <c r="F1202" t="s">
        <v>3236</v>
      </c>
      <c r="G1202">
        <v>1</v>
      </c>
      <c r="H1202" t="s">
        <v>632</v>
      </c>
      <c r="I1202" t="s">
        <v>147</v>
      </c>
      <c r="J1202" t="s">
        <v>633</v>
      </c>
      <c r="K1202" t="s">
        <v>20</v>
      </c>
      <c r="L1202" t="s">
        <v>3237</v>
      </c>
      <c r="M1202" s="3" t="str">
        <f>HYPERLINK("..\..\Imagery\ScannedPhotos\1977\MC77-135.jpg")</f>
        <v>..\..\Imagery\ScannedPhotos\1977\MC77-135.jpg</v>
      </c>
    </row>
    <row r="1203" spans="1:13" x14ac:dyDescent="0.25">
      <c r="A1203" t="s">
        <v>3238</v>
      </c>
      <c r="B1203">
        <v>538520</v>
      </c>
      <c r="C1203">
        <v>5733410</v>
      </c>
      <c r="D1203">
        <v>21</v>
      </c>
      <c r="E1203" t="s">
        <v>15</v>
      </c>
      <c r="F1203" t="s">
        <v>3239</v>
      </c>
      <c r="G1203">
        <v>1</v>
      </c>
      <c r="H1203" t="s">
        <v>1061</v>
      </c>
      <c r="I1203" t="s">
        <v>217</v>
      </c>
      <c r="J1203" t="s">
        <v>1062</v>
      </c>
      <c r="K1203" t="s">
        <v>20</v>
      </c>
      <c r="L1203" t="s">
        <v>3240</v>
      </c>
      <c r="M1203" s="3" t="str">
        <f>HYPERLINK("..\..\Imagery\ScannedPhotos\1993\CG93-020.jpg")</f>
        <v>..\..\Imagery\ScannedPhotos\1993\CG93-020.jpg</v>
      </c>
    </row>
    <row r="1204" spans="1:13" x14ac:dyDescent="0.25">
      <c r="A1204" t="s">
        <v>3241</v>
      </c>
      <c r="B1204">
        <v>532500</v>
      </c>
      <c r="C1204">
        <v>5731460</v>
      </c>
      <c r="D1204">
        <v>21</v>
      </c>
      <c r="E1204" t="s">
        <v>15</v>
      </c>
      <c r="F1204" t="s">
        <v>3242</v>
      </c>
      <c r="G1204">
        <v>3</v>
      </c>
      <c r="H1204" t="s">
        <v>1061</v>
      </c>
      <c r="I1204" t="s">
        <v>222</v>
      </c>
      <c r="J1204" t="s">
        <v>1062</v>
      </c>
      <c r="K1204" t="s">
        <v>56</v>
      </c>
      <c r="L1204" t="s">
        <v>3243</v>
      </c>
      <c r="M1204" s="3" t="str">
        <f>HYPERLINK("..\..\Imagery\ScannedPhotos\1993\CG93-023.1.jpg")</f>
        <v>..\..\Imagery\ScannedPhotos\1993\CG93-023.1.jpg</v>
      </c>
    </row>
    <row r="1205" spans="1:13" x14ac:dyDescent="0.25">
      <c r="A1205" t="s">
        <v>3241</v>
      </c>
      <c r="B1205">
        <v>532500</v>
      </c>
      <c r="C1205">
        <v>5731460</v>
      </c>
      <c r="D1205">
        <v>21</v>
      </c>
      <c r="E1205" t="s">
        <v>15</v>
      </c>
      <c r="F1205" t="s">
        <v>3244</v>
      </c>
      <c r="G1205">
        <v>3</v>
      </c>
      <c r="H1205" t="s">
        <v>1061</v>
      </c>
      <c r="I1205" t="s">
        <v>418</v>
      </c>
      <c r="J1205" t="s">
        <v>1062</v>
      </c>
      <c r="K1205" t="s">
        <v>20</v>
      </c>
      <c r="L1205" t="s">
        <v>3245</v>
      </c>
      <c r="M1205" s="3" t="str">
        <f>HYPERLINK("..\..\Imagery\ScannedPhotos\1993\CG93-023.2.jpg")</f>
        <v>..\..\Imagery\ScannedPhotos\1993\CG93-023.2.jpg</v>
      </c>
    </row>
    <row r="1206" spans="1:13" x14ac:dyDescent="0.25">
      <c r="A1206" t="s">
        <v>3241</v>
      </c>
      <c r="B1206">
        <v>532500</v>
      </c>
      <c r="C1206">
        <v>5731460</v>
      </c>
      <c r="D1206">
        <v>21</v>
      </c>
      <c r="E1206" t="s">
        <v>15</v>
      </c>
      <c r="F1206" t="s">
        <v>3246</v>
      </c>
      <c r="G1206">
        <v>3</v>
      </c>
      <c r="H1206" t="s">
        <v>1061</v>
      </c>
      <c r="I1206" t="s">
        <v>304</v>
      </c>
      <c r="J1206" t="s">
        <v>1062</v>
      </c>
      <c r="K1206" t="s">
        <v>56</v>
      </c>
      <c r="L1206" t="s">
        <v>3247</v>
      </c>
      <c r="M1206" s="3" t="str">
        <f>HYPERLINK("..\..\Imagery\ScannedPhotos\1993\CG93-023.3.jpg")</f>
        <v>..\..\Imagery\ScannedPhotos\1993\CG93-023.3.jpg</v>
      </c>
    </row>
    <row r="1207" spans="1:13" x14ac:dyDescent="0.25">
      <c r="A1207" t="s">
        <v>3248</v>
      </c>
      <c r="B1207">
        <v>529223</v>
      </c>
      <c r="C1207">
        <v>5731508</v>
      </c>
      <c r="D1207">
        <v>21</v>
      </c>
      <c r="E1207" t="s">
        <v>15</v>
      </c>
      <c r="F1207" t="s">
        <v>3249</v>
      </c>
      <c r="G1207">
        <v>3</v>
      </c>
      <c r="H1207" t="s">
        <v>1061</v>
      </c>
      <c r="I1207" t="s">
        <v>195</v>
      </c>
      <c r="J1207" t="s">
        <v>1062</v>
      </c>
      <c r="K1207" t="s">
        <v>20</v>
      </c>
      <c r="L1207" t="s">
        <v>290</v>
      </c>
      <c r="M1207" s="3" t="str">
        <f>HYPERLINK("..\..\Imagery\ScannedPhotos\1993\CG93-026.1.jpg")</f>
        <v>..\..\Imagery\ScannedPhotos\1993\CG93-026.1.jpg</v>
      </c>
    </row>
    <row r="1208" spans="1:13" x14ac:dyDescent="0.25">
      <c r="A1208" t="s">
        <v>3250</v>
      </c>
      <c r="B1208">
        <v>580388</v>
      </c>
      <c r="C1208">
        <v>5833023</v>
      </c>
      <c r="D1208">
        <v>21</v>
      </c>
      <c r="E1208" t="s">
        <v>15</v>
      </c>
      <c r="F1208" t="s">
        <v>3251</v>
      </c>
      <c r="G1208">
        <v>2</v>
      </c>
      <c r="H1208" t="s">
        <v>3252</v>
      </c>
      <c r="I1208" t="s">
        <v>137</v>
      </c>
      <c r="J1208" t="s">
        <v>100</v>
      </c>
      <c r="K1208" t="s">
        <v>20</v>
      </c>
      <c r="L1208" t="s">
        <v>3253</v>
      </c>
      <c r="M1208" s="3" t="str">
        <f>HYPERLINK("..\..\Imagery\ScannedPhotos\1986\SN86-377.2.jpg")</f>
        <v>..\..\Imagery\ScannedPhotos\1986\SN86-377.2.jpg</v>
      </c>
    </row>
    <row r="1209" spans="1:13" x14ac:dyDescent="0.25">
      <c r="A1209" t="s">
        <v>3254</v>
      </c>
      <c r="B1209">
        <v>580302</v>
      </c>
      <c r="C1209">
        <v>5833497</v>
      </c>
      <c r="D1209">
        <v>21</v>
      </c>
      <c r="E1209" t="s">
        <v>15</v>
      </c>
      <c r="F1209" t="s">
        <v>3255</v>
      </c>
      <c r="G1209">
        <v>1</v>
      </c>
      <c r="H1209" t="s">
        <v>3252</v>
      </c>
      <c r="I1209" t="s">
        <v>69</v>
      </c>
      <c r="J1209" t="s">
        <v>100</v>
      </c>
      <c r="K1209" t="s">
        <v>20</v>
      </c>
      <c r="L1209" t="s">
        <v>1958</v>
      </c>
      <c r="M1209" s="3" t="str">
        <f>HYPERLINK("..\..\Imagery\ScannedPhotos\1986\SN86-379.jpg")</f>
        <v>..\..\Imagery\ScannedPhotos\1986\SN86-379.jpg</v>
      </c>
    </row>
    <row r="1210" spans="1:13" x14ac:dyDescent="0.25">
      <c r="A1210" t="s">
        <v>3256</v>
      </c>
      <c r="B1210">
        <v>580898</v>
      </c>
      <c r="C1210">
        <v>5834070</v>
      </c>
      <c r="D1210">
        <v>21</v>
      </c>
      <c r="E1210" t="s">
        <v>15</v>
      </c>
      <c r="F1210" t="s">
        <v>3257</v>
      </c>
      <c r="G1210">
        <v>2</v>
      </c>
      <c r="H1210" t="s">
        <v>3252</v>
      </c>
      <c r="I1210" t="s">
        <v>74</v>
      </c>
      <c r="J1210" t="s">
        <v>100</v>
      </c>
      <c r="K1210" t="s">
        <v>20</v>
      </c>
      <c r="L1210" t="s">
        <v>1719</v>
      </c>
      <c r="M1210" s="3" t="str">
        <f>HYPERLINK("..\..\Imagery\ScannedPhotos\1986\SN86-381.1.jpg")</f>
        <v>..\..\Imagery\ScannedPhotos\1986\SN86-381.1.jpg</v>
      </c>
    </row>
    <row r="1211" spans="1:13" x14ac:dyDescent="0.25">
      <c r="A1211" t="s">
        <v>3258</v>
      </c>
      <c r="B1211">
        <v>583289</v>
      </c>
      <c r="C1211">
        <v>5793860</v>
      </c>
      <c r="D1211">
        <v>21</v>
      </c>
      <c r="E1211" t="s">
        <v>15</v>
      </c>
      <c r="F1211" t="s">
        <v>3259</v>
      </c>
      <c r="G1211">
        <v>2</v>
      </c>
      <c r="H1211" t="s">
        <v>1688</v>
      </c>
      <c r="I1211" t="s">
        <v>147</v>
      </c>
      <c r="J1211" t="s">
        <v>1052</v>
      </c>
      <c r="K1211" t="s">
        <v>20</v>
      </c>
      <c r="L1211" t="s">
        <v>3260</v>
      </c>
      <c r="M1211" s="3" t="str">
        <f>HYPERLINK("..\..\Imagery\ScannedPhotos\1987\VN87-412.1.jpg")</f>
        <v>..\..\Imagery\ScannedPhotos\1987\VN87-412.1.jpg</v>
      </c>
    </row>
    <row r="1212" spans="1:13" x14ac:dyDescent="0.25">
      <c r="A1212" t="s">
        <v>3258</v>
      </c>
      <c r="B1212">
        <v>583289</v>
      </c>
      <c r="C1212">
        <v>5793860</v>
      </c>
      <c r="D1212">
        <v>21</v>
      </c>
      <c r="E1212" t="s">
        <v>15</v>
      </c>
      <c r="F1212" t="s">
        <v>3261</v>
      </c>
      <c r="G1212">
        <v>2</v>
      </c>
      <c r="H1212" t="s">
        <v>1688</v>
      </c>
      <c r="I1212" t="s">
        <v>47</v>
      </c>
      <c r="J1212" t="s">
        <v>1052</v>
      </c>
      <c r="K1212" t="s">
        <v>20</v>
      </c>
      <c r="L1212" t="s">
        <v>3262</v>
      </c>
      <c r="M1212" s="3" t="str">
        <f>HYPERLINK("..\..\Imagery\ScannedPhotos\1987\VN87-412.2.jpg")</f>
        <v>..\..\Imagery\ScannedPhotos\1987\VN87-412.2.jpg</v>
      </c>
    </row>
    <row r="1213" spans="1:13" x14ac:dyDescent="0.25">
      <c r="A1213" t="s">
        <v>3263</v>
      </c>
      <c r="B1213">
        <v>586402</v>
      </c>
      <c r="C1213">
        <v>5783797</v>
      </c>
      <c r="D1213">
        <v>21</v>
      </c>
      <c r="E1213" t="s">
        <v>15</v>
      </c>
      <c r="F1213" t="s">
        <v>3264</v>
      </c>
      <c r="G1213">
        <v>1</v>
      </c>
      <c r="H1213" t="s">
        <v>1688</v>
      </c>
      <c r="I1213" t="s">
        <v>52</v>
      </c>
      <c r="J1213" t="s">
        <v>1052</v>
      </c>
      <c r="K1213" t="s">
        <v>56</v>
      </c>
      <c r="L1213" t="s">
        <v>3265</v>
      </c>
      <c r="M1213" s="3" t="str">
        <f>HYPERLINK("..\..\Imagery\ScannedPhotos\1987\VN87-430.jpg")</f>
        <v>..\..\Imagery\ScannedPhotos\1987\VN87-430.jpg</v>
      </c>
    </row>
    <row r="1214" spans="1:13" x14ac:dyDescent="0.25">
      <c r="A1214" t="s">
        <v>3266</v>
      </c>
      <c r="B1214">
        <v>561895</v>
      </c>
      <c r="C1214">
        <v>5756043</v>
      </c>
      <c r="D1214">
        <v>21</v>
      </c>
      <c r="E1214" t="s">
        <v>15</v>
      </c>
      <c r="F1214" t="s">
        <v>3267</v>
      </c>
      <c r="G1214">
        <v>1</v>
      </c>
      <c r="H1214" t="s">
        <v>2816</v>
      </c>
      <c r="I1214" t="s">
        <v>119</v>
      </c>
      <c r="J1214" t="s">
        <v>1514</v>
      </c>
      <c r="K1214" t="s">
        <v>56</v>
      </c>
      <c r="L1214" t="s">
        <v>3268</v>
      </c>
      <c r="M1214" s="3" t="str">
        <f>HYPERLINK("..\..\Imagery\ScannedPhotos\1993\DL93-339.jpg")</f>
        <v>..\..\Imagery\ScannedPhotos\1993\DL93-339.jpg</v>
      </c>
    </row>
    <row r="1215" spans="1:13" x14ac:dyDescent="0.25">
      <c r="A1215" t="s">
        <v>3269</v>
      </c>
      <c r="B1215">
        <v>582068</v>
      </c>
      <c r="C1215">
        <v>5771136</v>
      </c>
      <c r="D1215">
        <v>21</v>
      </c>
      <c r="E1215" t="s">
        <v>15</v>
      </c>
      <c r="F1215" t="s">
        <v>3270</v>
      </c>
      <c r="G1215">
        <v>1</v>
      </c>
      <c r="H1215" t="s">
        <v>1618</v>
      </c>
      <c r="I1215" t="s">
        <v>401</v>
      </c>
      <c r="J1215" t="s">
        <v>1619</v>
      </c>
      <c r="K1215" t="s">
        <v>20</v>
      </c>
      <c r="L1215" t="s">
        <v>772</v>
      </c>
      <c r="M1215" s="3" t="str">
        <f>HYPERLINK("..\..\Imagery\ScannedPhotos\1987\CG87-423.jpg")</f>
        <v>..\..\Imagery\ScannedPhotos\1987\CG87-423.jpg</v>
      </c>
    </row>
    <row r="1216" spans="1:13" x14ac:dyDescent="0.25">
      <c r="A1216" t="s">
        <v>3271</v>
      </c>
      <c r="B1216">
        <v>582152</v>
      </c>
      <c r="C1216">
        <v>5771688</v>
      </c>
      <c r="D1216">
        <v>21</v>
      </c>
      <c r="E1216" t="s">
        <v>15</v>
      </c>
      <c r="F1216" t="s">
        <v>3272</v>
      </c>
      <c r="G1216">
        <v>5</v>
      </c>
      <c r="H1216" t="s">
        <v>1066</v>
      </c>
      <c r="I1216" t="s">
        <v>79</v>
      </c>
      <c r="J1216" t="s">
        <v>36</v>
      </c>
      <c r="K1216" t="s">
        <v>228</v>
      </c>
      <c r="L1216" t="s">
        <v>3273</v>
      </c>
      <c r="M1216" s="3" t="str">
        <f>HYPERLINK("..\..\Imagery\ScannedPhotos\1987\CG87-425.2.jpg")</f>
        <v>..\..\Imagery\ScannedPhotos\1987\CG87-425.2.jpg</v>
      </c>
    </row>
    <row r="1217" spans="1:13" x14ac:dyDescent="0.25">
      <c r="A1217" t="s">
        <v>3271</v>
      </c>
      <c r="B1217">
        <v>582152</v>
      </c>
      <c r="C1217">
        <v>5771688</v>
      </c>
      <c r="D1217">
        <v>21</v>
      </c>
      <c r="E1217" t="s">
        <v>15</v>
      </c>
      <c r="F1217" t="s">
        <v>3274</v>
      </c>
      <c r="G1217">
        <v>5</v>
      </c>
      <c r="H1217" t="s">
        <v>1066</v>
      </c>
      <c r="I1217" t="s">
        <v>281</v>
      </c>
      <c r="J1217" t="s">
        <v>36</v>
      </c>
      <c r="K1217" t="s">
        <v>228</v>
      </c>
      <c r="L1217" t="s">
        <v>3275</v>
      </c>
      <c r="M1217" s="3" t="str">
        <f>HYPERLINK("..\..\Imagery\ScannedPhotos\1987\CG87-425.3.jpg")</f>
        <v>..\..\Imagery\ScannedPhotos\1987\CG87-425.3.jpg</v>
      </c>
    </row>
    <row r="1218" spans="1:13" x14ac:dyDescent="0.25">
      <c r="A1218" t="s">
        <v>3276</v>
      </c>
      <c r="B1218">
        <v>345012</v>
      </c>
      <c r="C1218">
        <v>6065514</v>
      </c>
      <c r="D1218">
        <v>21</v>
      </c>
      <c r="E1218" t="s">
        <v>15</v>
      </c>
      <c r="F1218" t="s">
        <v>3277</v>
      </c>
      <c r="G1218">
        <v>1</v>
      </c>
      <c r="H1218" t="s">
        <v>3278</v>
      </c>
      <c r="I1218" t="s">
        <v>294</v>
      </c>
      <c r="J1218" t="s">
        <v>3279</v>
      </c>
      <c r="K1218" t="s">
        <v>56</v>
      </c>
      <c r="L1218" t="s">
        <v>3280</v>
      </c>
      <c r="M1218" s="3" t="str">
        <f>HYPERLINK("..\..\Imagery\ScannedPhotos\1978\AL78-269.jpg")</f>
        <v>..\..\Imagery\ScannedPhotos\1978\AL78-269.jpg</v>
      </c>
    </row>
    <row r="1219" spans="1:13" x14ac:dyDescent="0.25">
      <c r="A1219" t="s">
        <v>2000</v>
      </c>
      <c r="B1219">
        <v>390601</v>
      </c>
      <c r="C1219">
        <v>6078130</v>
      </c>
      <c r="D1219">
        <v>21</v>
      </c>
      <c r="E1219" t="s">
        <v>15</v>
      </c>
      <c r="F1219" t="s">
        <v>3281</v>
      </c>
      <c r="G1219">
        <v>4</v>
      </c>
      <c r="H1219" t="s">
        <v>1872</v>
      </c>
      <c r="I1219" t="s">
        <v>65</v>
      </c>
      <c r="J1219" t="s">
        <v>1873</v>
      </c>
      <c r="K1219" t="s">
        <v>20</v>
      </c>
      <c r="L1219" t="s">
        <v>2002</v>
      </c>
      <c r="M1219" s="3" t="str">
        <f>HYPERLINK("..\..\Imagery\ScannedPhotos\1979\CG79-038.4.jpg")</f>
        <v>..\..\Imagery\ScannedPhotos\1979\CG79-038.4.jpg</v>
      </c>
    </row>
    <row r="1220" spans="1:13" x14ac:dyDescent="0.25">
      <c r="A1220" t="s">
        <v>2000</v>
      </c>
      <c r="B1220">
        <v>390601</v>
      </c>
      <c r="C1220">
        <v>6078130</v>
      </c>
      <c r="D1220">
        <v>21</v>
      </c>
      <c r="E1220" t="s">
        <v>15</v>
      </c>
      <c r="F1220" t="s">
        <v>3282</v>
      </c>
      <c r="G1220">
        <v>4</v>
      </c>
      <c r="H1220" t="s">
        <v>1872</v>
      </c>
      <c r="I1220" t="s">
        <v>52</v>
      </c>
      <c r="J1220" t="s">
        <v>1873</v>
      </c>
      <c r="K1220" t="s">
        <v>20</v>
      </c>
      <c r="L1220" t="s">
        <v>3283</v>
      </c>
      <c r="M1220" s="3" t="str">
        <f>HYPERLINK("..\..\Imagery\ScannedPhotos\1979\CG79-038.3.jpg")</f>
        <v>..\..\Imagery\ScannedPhotos\1979\CG79-038.3.jpg</v>
      </c>
    </row>
    <row r="1221" spans="1:13" x14ac:dyDescent="0.25">
      <c r="A1221" t="s">
        <v>3284</v>
      </c>
      <c r="B1221">
        <v>391692</v>
      </c>
      <c r="C1221">
        <v>6080050</v>
      </c>
      <c r="D1221">
        <v>21</v>
      </c>
      <c r="E1221" t="s">
        <v>15</v>
      </c>
      <c r="F1221" t="s">
        <v>3285</v>
      </c>
      <c r="G1221">
        <v>3</v>
      </c>
      <c r="H1221" t="s">
        <v>1207</v>
      </c>
      <c r="I1221" t="s">
        <v>294</v>
      </c>
      <c r="J1221" t="s">
        <v>1208</v>
      </c>
      <c r="K1221" t="s">
        <v>535</v>
      </c>
      <c r="L1221" t="s">
        <v>3286</v>
      </c>
      <c r="M1221" s="3" t="str">
        <f>HYPERLINK("..\..\Imagery\ScannedPhotos\1979\CG79-048.2.jpg")</f>
        <v>..\..\Imagery\ScannedPhotos\1979\CG79-048.2.jpg</v>
      </c>
    </row>
    <row r="1222" spans="1:13" x14ac:dyDescent="0.25">
      <c r="A1222" t="s">
        <v>3287</v>
      </c>
      <c r="B1222">
        <v>484245</v>
      </c>
      <c r="C1222">
        <v>5927555</v>
      </c>
      <c r="D1222">
        <v>21</v>
      </c>
      <c r="E1222" t="s">
        <v>15</v>
      </c>
      <c r="F1222" t="s">
        <v>3288</v>
      </c>
      <c r="G1222">
        <v>3</v>
      </c>
      <c r="H1222" t="s">
        <v>632</v>
      </c>
      <c r="I1222" t="s">
        <v>69</v>
      </c>
      <c r="J1222" t="s">
        <v>633</v>
      </c>
      <c r="K1222" t="s">
        <v>20</v>
      </c>
      <c r="L1222" t="s">
        <v>3289</v>
      </c>
      <c r="M1222" s="3" t="str">
        <f>HYPERLINK("..\..\Imagery\ScannedPhotos\1977\MC77-080.1.jpg")</f>
        <v>..\..\Imagery\ScannedPhotos\1977\MC77-080.1.jpg</v>
      </c>
    </row>
    <row r="1223" spans="1:13" x14ac:dyDescent="0.25">
      <c r="A1223" t="s">
        <v>3290</v>
      </c>
      <c r="B1223">
        <v>483855</v>
      </c>
      <c r="C1223">
        <v>5927051</v>
      </c>
      <c r="D1223">
        <v>21</v>
      </c>
      <c r="E1223" t="s">
        <v>15</v>
      </c>
      <c r="F1223" t="s">
        <v>3291</v>
      </c>
      <c r="G1223">
        <v>5</v>
      </c>
      <c r="H1223" t="s">
        <v>632</v>
      </c>
      <c r="I1223" t="s">
        <v>94</v>
      </c>
      <c r="J1223" t="s">
        <v>633</v>
      </c>
      <c r="K1223" t="s">
        <v>20</v>
      </c>
      <c r="L1223" t="s">
        <v>637</v>
      </c>
      <c r="M1223" s="3" t="str">
        <f>HYPERLINK("..\..\Imagery\ScannedPhotos\1977\MC77-081.3.jpg")</f>
        <v>..\..\Imagery\ScannedPhotos\1977\MC77-081.3.jpg</v>
      </c>
    </row>
    <row r="1224" spans="1:13" x14ac:dyDescent="0.25">
      <c r="A1224" t="s">
        <v>3292</v>
      </c>
      <c r="B1224">
        <v>571192</v>
      </c>
      <c r="C1224">
        <v>5916812</v>
      </c>
      <c r="D1224">
        <v>21</v>
      </c>
      <c r="E1224" t="s">
        <v>15</v>
      </c>
      <c r="F1224" t="s">
        <v>3293</v>
      </c>
      <c r="G1224">
        <v>2</v>
      </c>
      <c r="H1224" t="s">
        <v>2687</v>
      </c>
      <c r="I1224" t="s">
        <v>35</v>
      </c>
      <c r="J1224" t="s">
        <v>1463</v>
      </c>
      <c r="K1224" t="s">
        <v>56</v>
      </c>
      <c r="L1224" t="s">
        <v>3294</v>
      </c>
      <c r="M1224" s="3" t="str">
        <f>HYPERLINK("..\..\Imagery\ScannedPhotos\1985\VN85-581.1.jpg")</f>
        <v>..\..\Imagery\ScannedPhotos\1985\VN85-581.1.jpg</v>
      </c>
    </row>
    <row r="1225" spans="1:13" x14ac:dyDescent="0.25">
      <c r="A1225" t="s">
        <v>3295</v>
      </c>
      <c r="B1225">
        <v>568807</v>
      </c>
      <c r="C1225">
        <v>5915981</v>
      </c>
      <c r="D1225">
        <v>21</v>
      </c>
      <c r="E1225" t="s">
        <v>15</v>
      </c>
      <c r="F1225" t="s">
        <v>3296</v>
      </c>
      <c r="G1225">
        <v>1</v>
      </c>
      <c r="H1225" t="s">
        <v>2687</v>
      </c>
      <c r="I1225" t="s">
        <v>41</v>
      </c>
      <c r="J1225" t="s">
        <v>1463</v>
      </c>
      <c r="K1225" t="s">
        <v>20</v>
      </c>
      <c r="L1225" t="s">
        <v>3297</v>
      </c>
      <c r="M1225" s="3" t="str">
        <f>HYPERLINK("..\..\Imagery\ScannedPhotos\1985\VN85-587.jpg")</f>
        <v>..\..\Imagery\ScannedPhotos\1985\VN85-587.jpg</v>
      </c>
    </row>
    <row r="1226" spans="1:13" x14ac:dyDescent="0.25">
      <c r="A1226" t="s">
        <v>3298</v>
      </c>
      <c r="B1226">
        <v>567477</v>
      </c>
      <c r="C1226">
        <v>5916419</v>
      </c>
      <c r="D1226">
        <v>21</v>
      </c>
      <c r="E1226" t="s">
        <v>15</v>
      </c>
      <c r="F1226" t="s">
        <v>3299</v>
      </c>
      <c r="G1226">
        <v>2</v>
      </c>
      <c r="H1226" t="s">
        <v>2687</v>
      </c>
      <c r="I1226" t="s">
        <v>375</v>
      </c>
      <c r="J1226" t="s">
        <v>1463</v>
      </c>
      <c r="K1226" t="s">
        <v>20</v>
      </c>
      <c r="L1226" t="s">
        <v>3300</v>
      </c>
      <c r="M1226" s="3" t="str">
        <f>HYPERLINK("..\..\Imagery\ScannedPhotos\1985\VN85-604.1.jpg")</f>
        <v>..\..\Imagery\ScannedPhotos\1985\VN85-604.1.jpg</v>
      </c>
    </row>
    <row r="1227" spans="1:13" x14ac:dyDescent="0.25">
      <c r="A1227" t="s">
        <v>3301</v>
      </c>
      <c r="B1227">
        <v>568169</v>
      </c>
      <c r="C1227">
        <v>5827271</v>
      </c>
      <c r="D1227">
        <v>21</v>
      </c>
      <c r="E1227" t="s">
        <v>15</v>
      </c>
      <c r="F1227" t="s">
        <v>3302</v>
      </c>
      <c r="G1227">
        <v>2</v>
      </c>
      <c r="H1227" t="s">
        <v>3303</v>
      </c>
      <c r="I1227" t="s">
        <v>25</v>
      </c>
      <c r="J1227" t="s">
        <v>300</v>
      </c>
      <c r="K1227" t="s">
        <v>56</v>
      </c>
      <c r="L1227" t="s">
        <v>3304</v>
      </c>
      <c r="M1227" s="3" t="str">
        <f>HYPERLINK("..\..\Imagery\ScannedPhotos\1986\SN86-223.1.jpg")</f>
        <v>..\..\Imagery\ScannedPhotos\1986\SN86-223.1.jpg</v>
      </c>
    </row>
    <row r="1228" spans="1:13" x14ac:dyDescent="0.25">
      <c r="A1228" t="s">
        <v>3301</v>
      </c>
      <c r="B1228">
        <v>568169</v>
      </c>
      <c r="C1228">
        <v>5827271</v>
      </c>
      <c r="D1228">
        <v>21</v>
      </c>
      <c r="E1228" t="s">
        <v>15</v>
      </c>
      <c r="F1228" t="s">
        <v>3305</v>
      </c>
      <c r="G1228">
        <v>2</v>
      </c>
      <c r="H1228" t="s">
        <v>3303</v>
      </c>
      <c r="I1228" t="s">
        <v>360</v>
      </c>
      <c r="J1228" t="s">
        <v>300</v>
      </c>
      <c r="K1228" t="s">
        <v>20</v>
      </c>
      <c r="L1228" t="s">
        <v>356</v>
      </c>
      <c r="M1228" s="3" t="str">
        <f>HYPERLINK("..\..\Imagery\ScannedPhotos\1986\SN86-223.2.jpg")</f>
        <v>..\..\Imagery\ScannedPhotos\1986\SN86-223.2.jpg</v>
      </c>
    </row>
    <row r="1229" spans="1:13" x14ac:dyDescent="0.25">
      <c r="A1229" t="s">
        <v>3306</v>
      </c>
      <c r="B1229">
        <v>443840</v>
      </c>
      <c r="C1229">
        <v>5925406</v>
      </c>
      <c r="D1229">
        <v>21</v>
      </c>
      <c r="E1229" t="s">
        <v>15</v>
      </c>
      <c r="F1229" t="s">
        <v>3307</v>
      </c>
      <c r="G1229">
        <v>1</v>
      </c>
      <c r="H1229" t="s">
        <v>3308</v>
      </c>
      <c r="I1229" t="s">
        <v>74</v>
      </c>
      <c r="J1229" t="s">
        <v>3309</v>
      </c>
      <c r="K1229" t="s">
        <v>20</v>
      </c>
      <c r="L1229" t="s">
        <v>3310</v>
      </c>
      <c r="M1229" s="3" t="str">
        <f>HYPERLINK("..\..\Imagery\ScannedPhotos\1984\NN84-389.jpg")</f>
        <v>..\..\Imagery\ScannedPhotos\1984\NN84-389.jpg</v>
      </c>
    </row>
    <row r="1230" spans="1:13" x14ac:dyDescent="0.25">
      <c r="A1230" t="s">
        <v>3311</v>
      </c>
      <c r="B1230">
        <v>414349</v>
      </c>
      <c r="C1230">
        <v>6006984</v>
      </c>
      <c r="D1230">
        <v>21</v>
      </c>
      <c r="E1230" t="s">
        <v>15</v>
      </c>
      <c r="F1230" t="s">
        <v>3312</v>
      </c>
      <c r="G1230">
        <v>1</v>
      </c>
      <c r="H1230" t="s">
        <v>900</v>
      </c>
      <c r="I1230" t="s">
        <v>375</v>
      </c>
      <c r="J1230" t="s">
        <v>652</v>
      </c>
      <c r="K1230" t="s">
        <v>20</v>
      </c>
      <c r="L1230" t="s">
        <v>962</v>
      </c>
      <c r="M1230" s="3" t="str">
        <f>HYPERLINK("..\..\Imagery\ScannedPhotos\1980\RG80-014.jpg")</f>
        <v>..\..\Imagery\ScannedPhotos\1980\RG80-014.jpg</v>
      </c>
    </row>
    <row r="1231" spans="1:13" x14ac:dyDescent="0.25">
      <c r="A1231" t="s">
        <v>1151</v>
      </c>
      <c r="B1231">
        <v>415292</v>
      </c>
      <c r="C1231">
        <v>6006631</v>
      </c>
      <c r="D1231">
        <v>21</v>
      </c>
      <c r="E1231" t="s">
        <v>15</v>
      </c>
      <c r="F1231" t="s">
        <v>3313</v>
      </c>
      <c r="G1231">
        <v>4</v>
      </c>
      <c r="H1231" t="s">
        <v>900</v>
      </c>
      <c r="I1231" t="s">
        <v>386</v>
      </c>
      <c r="J1231" t="s">
        <v>652</v>
      </c>
      <c r="K1231" t="s">
        <v>20</v>
      </c>
      <c r="L1231" t="s">
        <v>3314</v>
      </c>
      <c r="M1231" s="3" t="str">
        <f>HYPERLINK("..\..\Imagery\ScannedPhotos\1980\RG80-015.3.jpg")</f>
        <v>..\..\Imagery\ScannedPhotos\1980\RG80-015.3.jpg</v>
      </c>
    </row>
    <row r="1232" spans="1:13" x14ac:dyDescent="0.25">
      <c r="A1232" t="s">
        <v>3315</v>
      </c>
      <c r="B1232">
        <v>579941</v>
      </c>
      <c r="C1232">
        <v>5857916</v>
      </c>
      <c r="D1232">
        <v>21</v>
      </c>
      <c r="E1232" t="s">
        <v>15</v>
      </c>
      <c r="F1232" t="s">
        <v>3316</v>
      </c>
      <c r="G1232">
        <v>1</v>
      </c>
      <c r="H1232" t="s">
        <v>2130</v>
      </c>
      <c r="I1232" t="s">
        <v>217</v>
      </c>
      <c r="J1232" t="s">
        <v>300</v>
      </c>
      <c r="K1232" t="s">
        <v>20</v>
      </c>
      <c r="L1232" t="s">
        <v>71</v>
      </c>
      <c r="M1232" s="3" t="str">
        <f>HYPERLINK("..\..\Imagery\ScannedPhotos\1986\JS86-366.jpg")</f>
        <v>..\..\Imagery\ScannedPhotos\1986\JS86-366.jpg</v>
      </c>
    </row>
    <row r="1233" spans="1:13" x14ac:dyDescent="0.25">
      <c r="A1233" t="s">
        <v>3317</v>
      </c>
      <c r="B1233">
        <v>431540</v>
      </c>
      <c r="C1233">
        <v>6010137</v>
      </c>
      <c r="D1233">
        <v>21</v>
      </c>
      <c r="E1233" t="s">
        <v>15</v>
      </c>
      <c r="F1233" t="s">
        <v>3318</v>
      </c>
      <c r="G1233">
        <v>1</v>
      </c>
      <c r="H1233" t="s">
        <v>1006</v>
      </c>
      <c r="I1233" t="s">
        <v>214</v>
      </c>
      <c r="J1233" t="s">
        <v>652</v>
      </c>
      <c r="K1233" t="s">
        <v>20</v>
      </c>
      <c r="L1233" t="s">
        <v>3319</v>
      </c>
      <c r="M1233" s="3" t="str">
        <f>HYPERLINK("..\..\Imagery\ScannedPhotos\1980\CG80-056.jpg")</f>
        <v>..\..\Imagery\ScannedPhotos\1980\CG80-056.jpg</v>
      </c>
    </row>
    <row r="1234" spans="1:13" x14ac:dyDescent="0.25">
      <c r="A1234" t="s">
        <v>3320</v>
      </c>
      <c r="B1234">
        <v>458358</v>
      </c>
      <c r="C1234">
        <v>6006556</v>
      </c>
      <c r="D1234">
        <v>21</v>
      </c>
      <c r="E1234" t="s">
        <v>15</v>
      </c>
      <c r="F1234" t="s">
        <v>3321</v>
      </c>
      <c r="G1234">
        <v>1</v>
      </c>
      <c r="H1234" t="s">
        <v>93</v>
      </c>
      <c r="I1234" t="s">
        <v>147</v>
      </c>
      <c r="J1234" t="s">
        <v>95</v>
      </c>
      <c r="K1234" t="s">
        <v>20</v>
      </c>
      <c r="L1234" t="s">
        <v>3322</v>
      </c>
      <c r="M1234" s="3" t="str">
        <f>HYPERLINK("..\..\Imagery\ScannedPhotos\1980\CG80-280.jpg")</f>
        <v>..\..\Imagery\ScannedPhotos\1980\CG80-280.jpg</v>
      </c>
    </row>
    <row r="1235" spans="1:13" x14ac:dyDescent="0.25">
      <c r="A1235" t="s">
        <v>346</v>
      </c>
      <c r="B1235">
        <v>377721</v>
      </c>
      <c r="C1235">
        <v>6103880</v>
      </c>
      <c r="D1235">
        <v>21</v>
      </c>
      <c r="E1235" t="s">
        <v>15</v>
      </c>
      <c r="F1235" t="s">
        <v>3323</v>
      </c>
      <c r="G1235">
        <v>5</v>
      </c>
      <c r="H1235" t="s">
        <v>249</v>
      </c>
      <c r="I1235" t="s">
        <v>137</v>
      </c>
      <c r="J1235" t="s">
        <v>250</v>
      </c>
      <c r="K1235" t="s">
        <v>20</v>
      </c>
      <c r="L1235" t="s">
        <v>3324</v>
      </c>
      <c r="M1235" s="3" t="str">
        <f>HYPERLINK("..\..\Imagery\ScannedPhotos\1979\AD79-024.3.jpg")</f>
        <v>..\..\Imagery\ScannedPhotos\1979\AD79-024.3.jpg</v>
      </c>
    </row>
    <row r="1236" spans="1:13" x14ac:dyDescent="0.25">
      <c r="A1236" t="s">
        <v>3325</v>
      </c>
      <c r="B1236">
        <v>383698</v>
      </c>
      <c r="C1236">
        <v>6110998</v>
      </c>
      <c r="D1236">
        <v>21</v>
      </c>
      <c r="E1236" t="s">
        <v>15</v>
      </c>
      <c r="F1236" t="s">
        <v>3326</v>
      </c>
      <c r="G1236">
        <v>2</v>
      </c>
      <c r="H1236" t="s">
        <v>354</v>
      </c>
      <c r="I1236" t="s">
        <v>209</v>
      </c>
      <c r="J1236" t="s">
        <v>355</v>
      </c>
      <c r="K1236" t="s">
        <v>20</v>
      </c>
      <c r="L1236" t="s">
        <v>3327</v>
      </c>
      <c r="M1236" s="3" t="str">
        <f>HYPERLINK("..\..\Imagery\ScannedPhotos\1979\AD79-051.1.jpg")</f>
        <v>..\..\Imagery\ScannedPhotos\1979\AD79-051.1.jpg</v>
      </c>
    </row>
    <row r="1237" spans="1:13" x14ac:dyDescent="0.25">
      <c r="A1237" t="s">
        <v>3328</v>
      </c>
      <c r="B1237">
        <v>490780</v>
      </c>
      <c r="C1237">
        <v>5821468</v>
      </c>
      <c r="D1237">
        <v>21</v>
      </c>
      <c r="E1237" t="s">
        <v>15</v>
      </c>
      <c r="F1237" t="s">
        <v>3329</v>
      </c>
      <c r="G1237">
        <v>3</v>
      </c>
      <c r="H1237" t="s">
        <v>3330</v>
      </c>
      <c r="I1237" t="s">
        <v>222</v>
      </c>
      <c r="J1237" t="s">
        <v>850</v>
      </c>
      <c r="K1237" t="s">
        <v>20</v>
      </c>
      <c r="L1237" t="s">
        <v>2573</v>
      </c>
      <c r="M1237" s="3" t="str">
        <f>HYPERLINK("..\..\Imagery\ScannedPhotos\1991\DD91-006.3.jpg")</f>
        <v>..\..\Imagery\ScannedPhotos\1991\DD91-006.3.jpg</v>
      </c>
    </row>
    <row r="1238" spans="1:13" x14ac:dyDescent="0.25">
      <c r="A1238" t="s">
        <v>3331</v>
      </c>
      <c r="B1238">
        <v>521311</v>
      </c>
      <c r="C1238">
        <v>5814843</v>
      </c>
      <c r="D1238">
        <v>21</v>
      </c>
      <c r="E1238" t="s">
        <v>15</v>
      </c>
      <c r="F1238" t="s">
        <v>3332</v>
      </c>
      <c r="G1238">
        <v>1</v>
      </c>
      <c r="H1238" t="s">
        <v>308</v>
      </c>
      <c r="I1238" t="s">
        <v>418</v>
      </c>
      <c r="J1238" t="s">
        <v>309</v>
      </c>
      <c r="K1238" t="s">
        <v>20</v>
      </c>
      <c r="L1238" t="s">
        <v>3333</v>
      </c>
      <c r="M1238" s="3" t="str">
        <f>HYPERLINK("..\..\Imagery\ScannedPhotos\1987\VN87-041.jpg")</f>
        <v>..\..\Imagery\ScannedPhotos\1987\VN87-041.jpg</v>
      </c>
    </row>
    <row r="1239" spans="1:13" x14ac:dyDescent="0.25">
      <c r="A1239" t="s">
        <v>3334</v>
      </c>
      <c r="B1239">
        <v>521127</v>
      </c>
      <c r="C1239">
        <v>5811699</v>
      </c>
      <c r="D1239">
        <v>21</v>
      </c>
      <c r="E1239" t="s">
        <v>15</v>
      </c>
      <c r="F1239" t="s">
        <v>3335</v>
      </c>
      <c r="G1239">
        <v>1</v>
      </c>
      <c r="H1239" t="s">
        <v>308</v>
      </c>
      <c r="I1239" t="s">
        <v>304</v>
      </c>
      <c r="J1239" t="s">
        <v>309</v>
      </c>
      <c r="K1239" t="s">
        <v>20</v>
      </c>
      <c r="L1239" t="s">
        <v>3336</v>
      </c>
      <c r="M1239" s="3" t="str">
        <f>HYPERLINK("..\..\Imagery\ScannedPhotos\1987\VN87-046.jpg")</f>
        <v>..\..\Imagery\ScannedPhotos\1987\VN87-046.jpg</v>
      </c>
    </row>
    <row r="1240" spans="1:13" x14ac:dyDescent="0.25">
      <c r="A1240" t="s">
        <v>3337</v>
      </c>
      <c r="B1240">
        <v>549288</v>
      </c>
      <c r="C1240">
        <v>5811283</v>
      </c>
      <c r="D1240">
        <v>21</v>
      </c>
      <c r="E1240" t="s">
        <v>15</v>
      </c>
      <c r="F1240" t="s">
        <v>3338</v>
      </c>
      <c r="G1240">
        <v>1</v>
      </c>
      <c r="H1240" t="s">
        <v>308</v>
      </c>
      <c r="I1240" t="s">
        <v>195</v>
      </c>
      <c r="J1240" t="s">
        <v>309</v>
      </c>
      <c r="K1240" t="s">
        <v>20</v>
      </c>
      <c r="L1240" t="s">
        <v>3339</v>
      </c>
      <c r="M1240" s="3" t="str">
        <f>HYPERLINK("..\..\Imagery\ScannedPhotos\1987\VN87-065.jpg")</f>
        <v>..\..\Imagery\ScannedPhotos\1987\VN87-065.jpg</v>
      </c>
    </row>
    <row r="1241" spans="1:13" x14ac:dyDescent="0.25">
      <c r="A1241" t="s">
        <v>3340</v>
      </c>
      <c r="B1241">
        <v>520965</v>
      </c>
      <c r="C1241">
        <v>5952820</v>
      </c>
      <c r="D1241">
        <v>21</v>
      </c>
      <c r="E1241" t="s">
        <v>15</v>
      </c>
      <c r="F1241" t="s">
        <v>3341</v>
      </c>
      <c r="G1241">
        <v>1</v>
      </c>
      <c r="H1241" t="s">
        <v>718</v>
      </c>
      <c r="I1241" t="s">
        <v>217</v>
      </c>
      <c r="J1241" t="s">
        <v>48</v>
      </c>
      <c r="K1241" t="s">
        <v>20</v>
      </c>
      <c r="L1241" t="s">
        <v>3342</v>
      </c>
      <c r="M1241" s="3" t="str">
        <f>HYPERLINK("..\..\Imagery\ScannedPhotos\1981\VO81-102.jpg")</f>
        <v>..\..\Imagery\ScannedPhotos\1981\VO81-102.jpg</v>
      </c>
    </row>
    <row r="1242" spans="1:13" x14ac:dyDescent="0.25">
      <c r="A1242" t="s">
        <v>3343</v>
      </c>
      <c r="B1242">
        <v>518520</v>
      </c>
      <c r="C1242">
        <v>5956090</v>
      </c>
      <c r="D1242">
        <v>21</v>
      </c>
      <c r="E1242" t="s">
        <v>15</v>
      </c>
      <c r="F1242" t="s">
        <v>3344</v>
      </c>
      <c r="G1242">
        <v>1</v>
      </c>
      <c r="H1242" t="s">
        <v>718</v>
      </c>
      <c r="I1242" t="s">
        <v>195</v>
      </c>
      <c r="J1242" t="s">
        <v>48</v>
      </c>
      <c r="K1242" t="s">
        <v>20</v>
      </c>
      <c r="L1242" t="s">
        <v>3345</v>
      </c>
      <c r="M1242" s="3" t="str">
        <f>HYPERLINK("..\..\Imagery\ScannedPhotos\1981\VO81-122.jpg")</f>
        <v>..\..\Imagery\ScannedPhotos\1981\VO81-122.jpg</v>
      </c>
    </row>
    <row r="1243" spans="1:13" x14ac:dyDescent="0.25">
      <c r="A1243" t="s">
        <v>3346</v>
      </c>
      <c r="B1243">
        <v>518527</v>
      </c>
      <c r="C1243">
        <v>5955730</v>
      </c>
      <c r="D1243">
        <v>21</v>
      </c>
      <c r="E1243" t="s">
        <v>15</v>
      </c>
      <c r="F1243" t="s">
        <v>3347</v>
      </c>
      <c r="G1243">
        <v>4</v>
      </c>
      <c r="H1243" t="s">
        <v>718</v>
      </c>
      <c r="I1243" t="s">
        <v>25</v>
      </c>
      <c r="J1243" t="s">
        <v>48</v>
      </c>
      <c r="K1243" t="s">
        <v>20</v>
      </c>
      <c r="L1243" t="s">
        <v>3348</v>
      </c>
      <c r="M1243" s="3" t="str">
        <f>HYPERLINK("..\..\Imagery\ScannedPhotos\1981\VO81-123.1.jpg")</f>
        <v>..\..\Imagery\ScannedPhotos\1981\VO81-123.1.jpg</v>
      </c>
    </row>
    <row r="1244" spans="1:13" x14ac:dyDescent="0.25">
      <c r="A1244" t="s">
        <v>3346</v>
      </c>
      <c r="B1244">
        <v>518527</v>
      </c>
      <c r="C1244">
        <v>5955730</v>
      </c>
      <c r="D1244">
        <v>21</v>
      </c>
      <c r="E1244" t="s">
        <v>15</v>
      </c>
      <c r="F1244" t="s">
        <v>3349</v>
      </c>
      <c r="G1244">
        <v>4</v>
      </c>
      <c r="H1244" t="s">
        <v>718</v>
      </c>
      <c r="I1244" t="s">
        <v>647</v>
      </c>
      <c r="J1244" t="s">
        <v>48</v>
      </c>
      <c r="K1244" t="s">
        <v>20</v>
      </c>
      <c r="L1244" t="s">
        <v>3348</v>
      </c>
      <c r="M1244" s="3" t="str">
        <f>HYPERLINK("..\..\Imagery\ScannedPhotos\1981\VO81-123.2.jpg")</f>
        <v>..\..\Imagery\ScannedPhotos\1981\VO81-123.2.jpg</v>
      </c>
    </row>
    <row r="1245" spans="1:13" x14ac:dyDescent="0.25">
      <c r="A1245" t="s">
        <v>3350</v>
      </c>
      <c r="B1245">
        <v>596598</v>
      </c>
      <c r="C1245">
        <v>5792798</v>
      </c>
      <c r="D1245">
        <v>21</v>
      </c>
      <c r="E1245" t="s">
        <v>15</v>
      </c>
      <c r="F1245" t="s">
        <v>3351</v>
      </c>
      <c r="G1245">
        <v>3</v>
      </c>
      <c r="K1245" t="s">
        <v>56</v>
      </c>
      <c r="L1245" t="s">
        <v>3352</v>
      </c>
      <c r="M1245" s="3" t="str">
        <f>HYPERLINK("..\..\Imagery\ScannedPhotos\2007\CG07-187.2.jpg")</f>
        <v>..\..\Imagery\ScannedPhotos\2007\CG07-187.2.jpg</v>
      </c>
    </row>
    <row r="1246" spans="1:13" x14ac:dyDescent="0.25">
      <c r="A1246" t="s">
        <v>3353</v>
      </c>
      <c r="B1246">
        <v>430276</v>
      </c>
      <c r="C1246">
        <v>5870507</v>
      </c>
      <c r="D1246">
        <v>21</v>
      </c>
      <c r="E1246" t="s">
        <v>15</v>
      </c>
      <c r="F1246" t="s">
        <v>3354</v>
      </c>
      <c r="G1246">
        <v>1</v>
      </c>
      <c r="K1246" t="s">
        <v>20</v>
      </c>
      <c r="L1246" t="s">
        <v>3355</v>
      </c>
      <c r="M1246" s="3" t="str">
        <f>HYPERLINK("..\..\Imagery\ScannedPhotos\2007\CG07-006.jpg")</f>
        <v>..\..\Imagery\ScannedPhotos\2007\CG07-006.jpg</v>
      </c>
    </row>
    <row r="1247" spans="1:13" x14ac:dyDescent="0.25">
      <c r="A1247" t="s">
        <v>3356</v>
      </c>
      <c r="B1247">
        <v>596424</v>
      </c>
      <c r="C1247">
        <v>5792773</v>
      </c>
      <c r="D1247">
        <v>21</v>
      </c>
      <c r="E1247" t="s">
        <v>15</v>
      </c>
      <c r="F1247" t="s">
        <v>3357</v>
      </c>
      <c r="G1247">
        <v>6</v>
      </c>
      <c r="K1247" t="s">
        <v>228</v>
      </c>
      <c r="L1247" t="s">
        <v>3358</v>
      </c>
      <c r="M1247" s="3" t="str">
        <f>HYPERLINK("..\..\Imagery\ScannedPhotos\2007\CG07-143.2.jpg")</f>
        <v>..\..\Imagery\ScannedPhotos\2007\CG07-143.2.jpg</v>
      </c>
    </row>
    <row r="1248" spans="1:13" x14ac:dyDescent="0.25">
      <c r="A1248" t="s">
        <v>3359</v>
      </c>
      <c r="B1248">
        <v>403908</v>
      </c>
      <c r="C1248">
        <v>6008989</v>
      </c>
      <c r="D1248">
        <v>21</v>
      </c>
      <c r="E1248" t="s">
        <v>15</v>
      </c>
      <c r="F1248" t="s">
        <v>3360</v>
      </c>
      <c r="G1248">
        <v>1</v>
      </c>
      <c r="H1248" t="s">
        <v>1006</v>
      </c>
      <c r="I1248" t="s">
        <v>18</v>
      </c>
      <c r="J1248" t="s">
        <v>652</v>
      </c>
      <c r="K1248" t="s">
        <v>20</v>
      </c>
      <c r="L1248" t="s">
        <v>3361</v>
      </c>
      <c r="M1248" s="3" t="str">
        <f>HYPERLINK("..\..\Imagery\ScannedPhotos\1980\CG80-041.jpg")</f>
        <v>..\..\Imagery\ScannedPhotos\1980\CG80-041.jpg</v>
      </c>
    </row>
    <row r="1249" spans="1:13" x14ac:dyDescent="0.25">
      <c r="A1249" t="s">
        <v>3362</v>
      </c>
      <c r="B1249">
        <v>403780</v>
      </c>
      <c r="C1249">
        <v>6008750</v>
      </c>
      <c r="D1249">
        <v>21</v>
      </c>
      <c r="E1249" t="s">
        <v>15</v>
      </c>
      <c r="F1249" t="s">
        <v>3363</v>
      </c>
      <c r="G1249">
        <v>1</v>
      </c>
      <c r="H1249" t="s">
        <v>1006</v>
      </c>
      <c r="I1249" t="s">
        <v>35</v>
      </c>
      <c r="J1249" t="s">
        <v>652</v>
      </c>
      <c r="K1249" t="s">
        <v>20</v>
      </c>
      <c r="L1249" t="s">
        <v>3364</v>
      </c>
      <c r="M1249" s="3" t="str">
        <f>HYPERLINK("..\..\Imagery\ScannedPhotos\1980\CG80-042.jpg")</f>
        <v>..\..\Imagery\ScannedPhotos\1980\CG80-042.jpg</v>
      </c>
    </row>
    <row r="1250" spans="1:13" x14ac:dyDescent="0.25">
      <c r="A1250" t="s">
        <v>3365</v>
      </c>
      <c r="B1250">
        <v>403366</v>
      </c>
      <c r="C1250">
        <v>6008422</v>
      </c>
      <c r="D1250">
        <v>21</v>
      </c>
      <c r="E1250" t="s">
        <v>15</v>
      </c>
      <c r="F1250" t="s">
        <v>3366</v>
      </c>
      <c r="G1250">
        <v>1</v>
      </c>
      <c r="H1250" t="s">
        <v>1006</v>
      </c>
      <c r="I1250" t="s">
        <v>69</v>
      </c>
      <c r="J1250" t="s">
        <v>652</v>
      </c>
      <c r="K1250" t="s">
        <v>20</v>
      </c>
      <c r="L1250" t="s">
        <v>3367</v>
      </c>
      <c r="M1250" s="3" t="str">
        <f>HYPERLINK("..\..\Imagery\ScannedPhotos\1980\CG80-043.jpg")</f>
        <v>..\..\Imagery\ScannedPhotos\1980\CG80-043.jpg</v>
      </c>
    </row>
    <row r="1251" spans="1:13" x14ac:dyDescent="0.25">
      <c r="A1251" t="s">
        <v>3368</v>
      </c>
      <c r="B1251">
        <v>429755</v>
      </c>
      <c r="C1251">
        <v>6009407</v>
      </c>
      <c r="D1251">
        <v>21</v>
      </c>
      <c r="E1251" t="s">
        <v>15</v>
      </c>
      <c r="F1251" t="s">
        <v>3369</v>
      </c>
      <c r="G1251">
        <v>2</v>
      </c>
      <c r="H1251" t="s">
        <v>1006</v>
      </c>
      <c r="I1251" t="s">
        <v>74</v>
      </c>
      <c r="J1251" t="s">
        <v>652</v>
      </c>
      <c r="K1251" t="s">
        <v>20</v>
      </c>
      <c r="L1251" t="s">
        <v>3370</v>
      </c>
      <c r="M1251" s="3" t="str">
        <f>HYPERLINK("..\..\Imagery\ScannedPhotos\1980\CG80-047.1.jpg")</f>
        <v>..\..\Imagery\ScannedPhotos\1980\CG80-047.1.jpg</v>
      </c>
    </row>
    <row r="1252" spans="1:13" x14ac:dyDescent="0.25">
      <c r="A1252" t="s">
        <v>3368</v>
      </c>
      <c r="B1252">
        <v>429755</v>
      </c>
      <c r="C1252">
        <v>6009407</v>
      </c>
      <c r="D1252">
        <v>21</v>
      </c>
      <c r="E1252" t="s">
        <v>15</v>
      </c>
      <c r="F1252" t="s">
        <v>3371</v>
      </c>
      <c r="G1252">
        <v>2</v>
      </c>
      <c r="H1252" t="s">
        <v>1006</v>
      </c>
      <c r="I1252" t="s">
        <v>41</v>
      </c>
      <c r="J1252" t="s">
        <v>652</v>
      </c>
      <c r="K1252" t="s">
        <v>20</v>
      </c>
      <c r="L1252" t="s">
        <v>3370</v>
      </c>
      <c r="M1252" s="3" t="str">
        <f>HYPERLINK("..\..\Imagery\ScannedPhotos\1980\CG80-047.2.jpg")</f>
        <v>..\..\Imagery\ScannedPhotos\1980\CG80-047.2.jpg</v>
      </c>
    </row>
    <row r="1253" spans="1:13" x14ac:dyDescent="0.25">
      <c r="A1253" t="s">
        <v>3372</v>
      </c>
      <c r="B1253">
        <v>430108</v>
      </c>
      <c r="C1253">
        <v>6009696</v>
      </c>
      <c r="D1253">
        <v>21</v>
      </c>
      <c r="E1253" t="s">
        <v>15</v>
      </c>
      <c r="F1253" t="s">
        <v>3373</v>
      </c>
      <c r="G1253">
        <v>2</v>
      </c>
      <c r="H1253" t="s">
        <v>1006</v>
      </c>
      <c r="I1253" t="s">
        <v>375</v>
      </c>
      <c r="J1253" t="s">
        <v>652</v>
      </c>
      <c r="K1253" t="s">
        <v>20</v>
      </c>
      <c r="L1253" t="s">
        <v>3374</v>
      </c>
      <c r="M1253" s="3" t="str">
        <f>HYPERLINK("..\..\Imagery\ScannedPhotos\1980\CG80-050.2.jpg")</f>
        <v>..\..\Imagery\ScannedPhotos\1980\CG80-050.2.jpg</v>
      </c>
    </row>
    <row r="1254" spans="1:13" x14ac:dyDescent="0.25">
      <c r="A1254" t="s">
        <v>3375</v>
      </c>
      <c r="B1254">
        <v>507673</v>
      </c>
      <c r="C1254">
        <v>5812521</v>
      </c>
      <c r="D1254">
        <v>21</v>
      </c>
      <c r="E1254" t="s">
        <v>15</v>
      </c>
      <c r="F1254" t="s">
        <v>3376</v>
      </c>
      <c r="G1254">
        <v>1</v>
      </c>
      <c r="H1254" t="s">
        <v>308</v>
      </c>
      <c r="I1254" t="s">
        <v>222</v>
      </c>
      <c r="J1254" t="s">
        <v>309</v>
      </c>
      <c r="K1254" t="s">
        <v>20</v>
      </c>
      <c r="L1254" t="s">
        <v>3377</v>
      </c>
      <c r="M1254" s="3" t="str">
        <f>HYPERLINK("..\..\Imagery\ScannedPhotos\1987\VN87-032.jpg")</f>
        <v>..\..\Imagery\ScannedPhotos\1987\VN87-032.jpg</v>
      </c>
    </row>
    <row r="1255" spans="1:13" x14ac:dyDescent="0.25">
      <c r="A1255" t="s">
        <v>3131</v>
      </c>
      <c r="B1255">
        <v>406812</v>
      </c>
      <c r="C1255">
        <v>6004126</v>
      </c>
      <c r="D1255">
        <v>21</v>
      </c>
      <c r="E1255" t="s">
        <v>15</v>
      </c>
      <c r="F1255" t="s">
        <v>3378</v>
      </c>
      <c r="G1255">
        <v>27</v>
      </c>
      <c r="H1255" t="s">
        <v>806</v>
      </c>
      <c r="I1255" t="s">
        <v>375</v>
      </c>
      <c r="J1255" t="s">
        <v>807</v>
      </c>
      <c r="K1255" t="s">
        <v>535</v>
      </c>
      <c r="L1255" t="s">
        <v>3379</v>
      </c>
      <c r="M1255" s="3" t="str">
        <f>HYPERLINK("..\..\Imagery\ScannedPhotos\1980\CG80-102.8.jpg")</f>
        <v>..\..\Imagery\ScannedPhotos\1980\CG80-102.8.jpg</v>
      </c>
    </row>
    <row r="1256" spans="1:13" x14ac:dyDescent="0.25">
      <c r="A1256" t="s">
        <v>3380</v>
      </c>
      <c r="B1256">
        <v>527731</v>
      </c>
      <c r="C1256">
        <v>5948929</v>
      </c>
      <c r="D1256">
        <v>21</v>
      </c>
      <c r="E1256" t="s">
        <v>15</v>
      </c>
      <c r="F1256" t="s">
        <v>3381</v>
      </c>
      <c r="G1256">
        <v>1</v>
      </c>
      <c r="H1256" t="s">
        <v>221</v>
      </c>
      <c r="I1256" t="s">
        <v>147</v>
      </c>
      <c r="J1256" t="s">
        <v>48</v>
      </c>
      <c r="K1256" t="s">
        <v>20</v>
      </c>
      <c r="L1256" t="s">
        <v>3382</v>
      </c>
      <c r="M1256" s="3" t="str">
        <f>HYPERLINK("..\..\Imagery\ScannedPhotos\1981\CG81-385.jpg")</f>
        <v>..\..\Imagery\ScannedPhotos\1981\CG81-385.jpg</v>
      </c>
    </row>
    <row r="1257" spans="1:13" x14ac:dyDescent="0.25">
      <c r="A1257" t="s">
        <v>3383</v>
      </c>
      <c r="B1257">
        <v>527026</v>
      </c>
      <c r="C1257">
        <v>5947736</v>
      </c>
      <c r="D1257">
        <v>21</v>
      </c>
      <c r="E1257" t="s">
        <v>15</v>
      </c>
      <c r="F1257" t="s">
        <v>3384</v>
      </c>
      <c r="G1257">
        <v>1</v>
      </c>
      <c r="H1257" t="s">
        <v>221</v>
      </c>
      <c r="I1257" t="s">
        <v>47</v>
      </c>
      <c r="J1257" t="s">
        <v>48</v>
      </c>
      <c r="K1257" t="s">
        <v>20</v>
      </c>
      <c r="L1257" t="s">
        <v>3385</v>
      </c>
      <c r="M1257" s="3" t="str">
        <f>HYPERLINK("..\..\Imagery\ScannedPhotos\1981\CG81-388.jpg")</f>
        <v>..\..\Imagery\ScannedPhotos\1981\CG81-388.jpg</v>
      </c>
    </row>
    <row r="1258" spans="1:13" x14ac:dyDescent="0.25">
      <c r="A1258" t="s">
        <v>3386</v>
      </c>
      <c r="B1258">
        <v>493041</v>
      </c>
      <c r="C1258">
        <v>5820808</v>
      </c>
      <c r="D1258">
        <v>21</v>
      </c>
      <c r="E1258" t="s">
        <v>15</v>
      </c>
      <c r="F1258" t="s">
        <v>3387</v>
      </c>
      <c r="G1258">
        <v>6</v>
      </c>
      <c r="H1258" t="s">
        <v>3330</v>
      </c>
      <c r="I1258" t="s">
        <v>94</v>
      </c>
      <c r="J1258" t="s">
        <v>850</v>
      </c>
      <c r="K1258" t="s">
        <v>20</v>
      </c>
      <c r="L1258" t="s">
        <v>3388</v>
      </c>
      <c r="M1258" s="3" t="str">
        <f>HYPERLINK("..\..\Imagery\ScannedPhotos\1991\DD91-004.6.jpg")</f>
        <v>..\..\Imagery\ScannedPhotos\1991\DD91-004.6.jpg</v>
      </c>
    </row>
    <row r="1259" spans="1:13" x14ac:dyDescent="0.25">
      <c r="A1259" t="s">
        <v>3389</v>
      </c>
      <c r="B1259">
        <v>596695</v>
      </c>
      <c r="C1259">
        <v>5792749</v>
      </c>
      <c r="D1259">
        <v>21</v>
      </c>
      <c r="E1259" t="s">
        <v>15</v>
      </c>
      <c r="F1259" t="s">
        <v>3390</v>
      </c>
      <c r="G1259">
        <v>3</v>
      </c>
      <c r="K1259" t="s">
        <v>56</v>
      </c>
      <c r="L1259" t="s">
        <v>2203</v>
      </c>
      <c r="M1259" s="3" t="str">
        <f>HYPERLINK("..\..\Imagery\ScannedPhotos\2007\CG07-138.1.jpg")</f>
        <v>..\..\Imagery\ScannedPhotos\2007\CG07-138.1.jpg</v>
      </c>
    </row>
    <row r="1260" spans="1:13" x14ac:dyDescent="0.25">
      <c r="A1260" t="s">
        <v>3389</v>
      </c>
      <c r="B1260">
        <v>596695</v>
      </c>
      <c r="C1260">
        <v>5792749</v>
      </c>
      <c r="D1260">
        <v>21</v>
      </c>
      <c r="E1260" t="s">
        <v>15</v>
      </c>
      <c r="F1260" t="s">
        <v>3391</v>
      </c>
      <c r="G1260">
        <v>3</v>
      </c>
      <c r="K1260" t="s">
        <v>20</v>
      </c>
      <c r="L1260" t="s">
        <v>2203</v>
      </c>
      <c r="M1260" s="3" t="str">
        <f>HYPERLINK("..\..\Imagery\ScannedPhotos\2007\CG07-138.2.jpg")</f>
        <v>..\..\Imagery\ScannedPhotos\2007\CG07-138.2.jpg</v>
      </c>
    </row>
    <row r="1261" spans="1:13" x14ac:dyDescent="0.25">
      <c r="A1261" t="s">
        <v>3389</v>
      </c>
      <c r="B1261">
        <v>596695</v>
      </c>
      <c r="C1261">
        <v>5792749</v>
      </c>
      <c r="D1261">
        <v>21</v>
      </c>
      <c r="E1261" t="s">
        <v>15</v>
      </c>
      <c r="F1261" t="s">
        <v>3392</v>
      </c>
      <c r="G1261">
        <v>3</v>
      </c>
      <c r="K1261" t="s">
        <v>56</v>
      </c>
      <c r="L1261" t="s">
        <v>3393</v>
      </c>
      <c r="M1261" s="3" t="str">
        <f>HYPERLINK("..\..\Imagery\ScannedPhotos\2007\CG07-138.3.jpg")</f>
        <v>..\..\Imagery\ScannedPhotos\2007\CG07-138.3.jpg</v>
      </c>
    </row>
    <row r="1262" spans="1:13" x14ac:dyDescent="0.25">
      <c r="A1262" t="s">
        <v>3394</v>
      </c>
      <c r="B1262">
        <v>542148</v>
      </c>
      <c r="C1262">
        <v>5738636</v>
      </c>
      <c r="D1262">
        <v>21</v>
      </c>
      <c r="E1262" t="s">
        <v>15</v>
      </c>
      <c r="F1262" t="s">
        <v>3395</v>
      </c>
      <c r="G1262">
        <v>1</v>
      </c>
      <c r="K1262" t="s">
        <v>56</v>
      </c>
      <c r="L1262" t="s">
        <v>3396</v>
      </c>
      <c r="M1262" s="3" t="str">
        <f>HYPERLINK("..\..\Imagery\ScannedPhotos\2003\CG03-016.jpg")</f>
        <v>..\..\Imagery\ScannedPhotos\2003\CG03-016.jpg</v>
      </c>
    </row>
    <row r="1263" spans="1:13" x14ac:dyDescent="0.25">
      <c r="A1263" t="s">
        <v>3397</v>
      </c>
      <c r="B1263">
        <v>560130</v>
      </c>
      <c r="C1263">
        <v>5778510</v>
      </c>
      <c r="D1263">
        <v>21</v>
      </c>
      <c r="E1263" t="s">
        <v>15</v>
      </c>
      <c r="F1263" t="s">
        <v>3398</v>
      </c>
      <c r="G1263">
        <v>2</v>
      </c>
      <c r="K1263" t="s">
        <v>56</v>
      </c>
      <c r="L1263" t="s">
        <v>3399</v>
      </c>
      <c r="M1263" s="3" t="str">
        <f>HYPERLINK("..\..\Imagery\ScannedPhotos\2003\CG03-097.2.jpg")</f>
        <v>..\..\Imagery\ScannedPhotos\2003\CG03-097.2.jpg</v>
      </c>
    </row>
    <row r="1264" spans="1:13" x14ac:dyDescent="0.25">
      <c r="A1264" t="s">
        <v>1809</v>
      </c>
      <c r="B1264">
        <v>571489</v>
      </c>
      <c r="C1264">
        <v>5796641</v>
      </c>
      <c r="D1264">
        <v>21</v>
      </c>
      <c r="E1264" t="s">
        <v>15</v>
      </c>
      <c r="F1264" t="s">
        <v>3400</v>
      </c>
      <c r="G1264">
        <v>4</v>
      </c>
      <c r="K1264" t="s">
        <v>20</v>
      </c>
      <c r="L1264" t="s">
        <v>3401</v>
      </c>
      <c r="M1264" s="3" t="str">
        <f>HYPERLINK("..\..\Imagery\ScannedPhotos\2003\CG03-146.2.jpg")</f>
        <v>..\..\Imagery\ScannedPhotos\2003\CG03-146.2.jpg</v>
      </c>
    </row>
    <row r="1265" spans="1:13" x14ac:dyDescent="0.25">
      <c r="A1265" t="s">
        <v>3402</v>
      </c>
      <c r="B1265">
        <v>317952</v>
      </c>
      <c r="C1265">
        <v>5790148</v>
      </c>
      <c r="D1265">
        <v>21</v>
      </c>
      <c r="E1265" t="s">
        <v>15</v>
      </c>
      <c r="F1265" t="s">
        <v>3403</v>
      </c>
      <c r="G1265">
        <v>6</v>
      </c>
      <c r="H1265" t="s">
        <v>3404</v>
      </c>
      <c r="I1265" t="s">
        <v>85</v>
      </c>
      <c r="J1265" t="s">
        <v>80</v>
      </c>
      <c r="K1265" t="s">
        <v>535</v>
      </c>
      <c r="L1265" t="s">
        <v>3405</v>
      </c>
      <c r="M1265" s="3" t="str">
        <f>HYPERLINK("..\..\Imagery\ScannedPhotos\2000\CG00-043.3.jpg")</f>
        <v>..\..\Imagery\ScannedPhotos\2000\CG00-043.3.jpg</v>
      </c>
    </row>
    <row r="1266" spans="1:13" x14ac:dyDescent="0.25">
      <c r="A1266" t="s">
        <v>3406</v>
      </c>
      <c r="B1266">
        <v>577261</v>
      </c>
      <c r="C1266">
        <v>5883596</v>
      </c>
      <c r="D1266">
        <v>21</v>
      </c>
      <c r="E1266" t="s">
        <v>15</v>
      </c>
      <c r="F1266" t="s">
        <v>3407</v>
      </c>
      <c r="G1266">
        <v>2</v>
      </c>
      <c r="H1266" t="s">
        <v>1013</v>
      </c>
      <c r="I1266" t="s">
        <v>147</v>
      </c>
      <c r="J1266" t="s">
        <v>1014</v>
      </c>
      <c r="K1266" t="s">
        <v>20</v>
      </c>
      <c r="L1266" t="s">
        <v>642</v>
      </c>
      <c r="M1266" s="3" t="str">
        <f>HYPERLINK("..\..\Imagery\ScannedPhotos\1985\CG85-479.2.jpg")</f>
        <v>..\..\Imagery\ScannedPhotos\1985\CG85-479.2.jpg</v>
      </c>
    </row>
    <row r="1267" spans="1:13" x14ac:dyDescent="0.25">
      <c r="A1267" t="s">
        <v>3406</v>
      </c>
      <c r="B1267">
        <v>577261</v>
      </c>
      <c r="C1267">
        <v>5883596</v>
      </c>
      <c r="D1267">
        <v>21</v>
      </c>
      <c r="E1267" t="s">
        <v>15</v>
      </c>
      <c r="F1267" t="s">
        <v>3408</v>
      </c>
      <c r="G1267">
        <v>2</v>
      </c>
      <c r="H1267" t="s">
        <v>1013</v>
      </c>
      <c r="I1267" t="s">
        <v>143</v>
      </c>
      <c r="J1267" t="s">
        <v>1014</v>
      </c>
      <c r="K1267" t="s">
        <v>20</v>
      </c>
      <c r="L1267" t="s">
        <v>3409</v>
      </c>
      <c r="M1267" s="3" t="str">
        <f>HYPERLINK("..\..\Imagery\ScannedPhotos\1985\CG85-479.1.jpg")</f>
        <v>..\..\Imagery\ScannedPhotos\1985\CG85-479.1.jpg</v>
      </c>
    </row>
    <row r="1268" spans="1:13" x14ac:dyDescent="0.25">
      <c r="A1268" t="s">
        <v>3410</v>
      </c>
      <c r="B1268">
        <v>578401</v>
      </c>
      <c r="C1268">
        <v>5883948</v>
      </c>
      <c r="D1268">
        <v>21</v>
      </c>
      <c r="E1268" t="s">
        <v>15</v>
      </c>
      <c r="F1268" t="s">
        <v>3411</v>
      </c>
      <c r="G1268">
        <v>3</v>
      </c>
      <c r="H1268" t="s">
        <v>1013</v>
      </c>
      <c r="I1268" t="s">
        <v>47</v>
      </c>
      <c r="J1268" t="s">
        <v>1014</v>
      </c>
      <c r="K1268" t="s">
        <v>56</v>
      </c>
      <c r="L1268" t="s">
        <v>3412</v>
      </c>
      <c r="M1268" s="3" t="str">
        <f>HYPERLINK("..\..\Imagery\ScannedPhotos\1985\CG85-481.1.jpg")</f>
        <v>..\..\Imagery\ScannedPhotos\1985\CG85-481.1.jpg</v>
      </c>
    </row>
    <row r="1269" spans="1:13" x14ac:dyDescent="0.25">
      <c r="A1269" t="s">
        <v>1205</v>
      </c>
      <c r="B1269">
        <v>412070</v>
      </c>
      <c r="C1269">
        <v>6078275</v>
      </c>
      <c r="D1269">
        <v>21</v>
      </c>
      <c r="E1269" t="s">
        <v>15</v>
      </c>
      <c r="F1269" t="s">
        <v>3413</v>
      </c>
      <c r="G1269">
        <v>2</v>
      </c>
      <c r="H1269" t="s">
        <v>1207</v>
      </c>
      <c r="I1269" t="s">
        <v>214</v>
      </c>
      <c r="J1269" t="s">
        <v>1208</v>
      </c>
      <c r="K1269" t="s">
        <v>20</v>
      </c>
      <c r="L1269" t="s">
        <v>3414</v>
      </c>
      <c r="M1269" s="3" t="str">
        <f>HYPERLINK("..\..\Imagery\ScannedPhotos\1979\CG79-074.1.jpg")</f>
        <v>..\..\Imagery\ScannedPhotos\1979\CG79-074.1.jpg</v>
      </c>
    </row>
    <row r="1270" spans="1:13" x14ac:dyDescent="0.25">
      <c r="A1270" t="s">
        <v>3415</v>
      </c>
      <c r="B1270">
        <v>530038</v>
      </c>
      <c r="C1270">
        <v>5731125</v>
      </c>
      <c r="D1270">
        <v>21</v>
      </c>
      <c r="E1270" t="s">
        <v>15</v>
      </c>
      <c r="F1270" t="s">
        <v>3416</v>
      </c>
      <c r="G1270">
        <v>1</v>
      </c>
      <c r="H1270" t="s">
        <v>885</v>
      </c>
      <c r="I1270" t="s">
        <v>35</v>
      </c>
      <c r="J1270" t="s">
        <v>886</v>
      </c>
      <c r="K1270" t="s">
        <v>20</v>
      </c>
      <c r="L1270" t="s">
        <v>3417</v>
      </c>
      <c r="M1270" s="3" t="str">
        <f>HYPERLINK("..\..\Imagery\ScannedPhotos\1993\CG93-054.jpg")</f>
        <v>..\..\Imagery\ScannedPhotos\1993\CG93-054.jpg</v>
      </c>
    </row>
    <row r="1271" spans="1:13" x14ac:dyDescent="0.25">
      <c r="A1271" t="s">
        <v>3418</v>
      </c>
      <c r="B1271">
        <v>527078</v>
      </c>
      <c r="C1271">
        <v>5732862</v>
      </c>
      <c r="D1271">
        <v>21</v>
      </c>
      <c r="E1271" t="s">
        <v>15</v>
      </c>
      <c r="F1271" t="s">
        <v>3419</v>
      </c>
      <c r="G1271">
        <v>1</v>
      </c>
      <c r="H1271" t="s">
        <v>885</v>
      </c>
      <c r="I1271" t="s">
        <v>74</v>
      </c>
      <c r="J1271" t="s">
        <v>886</v>
      </c>
      <c r="K1271" t="s">
        <v>20</v>
      </c>
      <c r="L1271" t="s">
        <v>3420</v>
      </c>
      <c r="M1271" s="3" t="str">
        <f>HYPERLINK("..\..\Imagery\ScannedPhotos\1993\CG93-059.jpg")</f>
        <v>..\..\Imagery\ScannedPhotos\1993\CG93-059.jpg</v>
      </c>
    </row>
    <row r="1272" spans="1:13" x14ac:dyDescent="0.25">
      <c r="A1272" t="s">
        <v>3421</v>
      </c>
      <c r="B1272">
        <v>524356</v>
      </c>
      <c r="C1272">
        <v>5731070</v>
      </c>
      <c r="D1272">
        <v>21</v>
      </c>
      <c r="E1272" t="s">
        <v>15</v>
      </c>
      <c r="F1272" t="s">
        <v>3422</v>
      </c>
      <c r="G1272">
        <v>2</v>
      </c>
      <c r="H1272" t="s">
        <v>885</v>
      </c>
      <c r="I1272" t="s">
        <v>375</v>
      </c>
      <c r="J1272" t="s">
        <v>886</v>
      </c>
      <c r="K1272" t="s">
        <v>20</v>
      </c>
      <c r="L1272" t="s">
        <v>3423</v>
      </c>
      <c r="M1272" s="3" t="str">
        <f>HYPERLINK("..\..\Imagery\ScannedPhotos\1993\CG93-064.2.jpg")</f>
        <v>..\..\Imagery\ScannedPhotos\1993\CG93-064.2.jpg</v>
      </c>
    </row>
    <row r="1273" spans="1:13" x14ac:dyDescent="0.25">
      <c r="A1273" t="s">
        <v>3424</v>
      </c>
      <c r="B1273">
        <v>565737</v>
      </c>
      <c r="C1273">
        <v>5748995</v>
      </c>
      <c r="D1273">
        <v>21</v>
      </c>
      <c r="E1273" t="s">
        <v>15</v>
      </c>
      <c r="F1273" t="s">
        <v>3425</v>
      </c>
      <c r="G1273">
        <v>4</v>
      </c>
      <c r="H1273" t="s">
        <v>1513</v>
      </c>
      <c r="I1273" t="s">
        <v>360</v>
      </c>
      <c r="J1273" t="s">
        <v>1514</v>
      </c>
      <c r="K1273" t="s">
        <v>20</v>
      </c>
      <c r="L1273" t="s">
        <v>3426</v>
      </c>
      <c r="M1273" s="3" t="str">
        <f>HYPERLINK("..\..\Imagery\ScannedPhotos\1993\CG93-453.3.jpg")</f>
        <v>..\..\Imagery\ScannedPhotos\1993\CG93-453.3.jpg</v>
      </c>
    </row>
    <row r="1274" spans="1:13" x14ac:dyDescent="0.25">
      <c r="A1274" t="s">
        <v>3424</v>
      </c>
      <c r="B1274">
        <v>565737</v>
      </c>
      <c r="C1274">
        <v>5748995</v>
      </c>
      <c r="D1274">
        <v>21</v>
      </c>
      <c r="E1274" t="s">
        <v>15</v>
      </c>
      <c r="F1274" t="s">
        <v>3427</v>
      </c>
      <c r="G1274">
        <v>4</v>
      </c>
      <c r="H1274" t="s">
        <v>1513</v>
      </c>
      <c r="I1274" t="s">
        <v>647</v>
      </c>
      <c r="J1274" t="s">
        <v>1514</v>
      </c>
      <c r="K1274" t="s">
        <v>20</v>
      </c>
      <c r="L1274" t="s">
        <v>3426</v>
      </c>
      <c r="M1274" s="3" t="str">
        <f>HYPERLINK("..\..\Imagery\ScannedPhotos\1993\CG93-453.4.jpg")</f>
        <v>..\..\Imagery\ScannedPhotos\1993\CG93-453.4.jpg</v>
      </c>
    </row>
    <row r="1275" spans="1:13" x14ac:dyDescent="0.25">
      <c r="A1275" t="s">
        <v>3424</v>
      </c>
      <c r="B1275">
        <v>565737</v>
      </c>
      <c r="C1275">
        <v>5748995</v>
      </c>
      <c r="D1275">
        <v>21</v>
      </c>
      <c r="E1275" t="s">
        <v>15</v>
      </c>
      <c r="F1275" t="s">
        <v>3428</v>
      </c>
      <c r="G1275">
        <v>4</v>
      </c>
      <c r="H1275" t="s">
        <v>1513</v>
      </c>
      <c r="I1275" t="s">
        <v>195</v>
      </c>
      <c r="J1275" t="s">
        <v>1514</v>
      </c>
      <c r="K1275" t="s">
        <v>56</v>
      </c>
      <c r="L1275" t="s">
        <v>3429</v>
      </c>
      <c r="M1275" s="3" t="str">
        <f>HYPERLINK("..\..\Imagery\ScannedPhotos\1993\CG93-453.1.jpg")</f>
        <v>..\..\Imagery\ScannedPhotos\1993\CG93-453.1.jpg</v>
      </c>
    </row>
    <row r="1276" spans="1:13" x14ac:dyDescent="0.25">
      <c r="A1276" t="s">
        <v>3430</v>
      </c>
      <c r="B1276">
        <v>543635</v>
      </c>
      <c r="C1276">
        <v>5732113</v>
      </c>
      <c r="D1276">
        <v>21</v>
      </c>
      <c r="E1276" t="s">
        <v>15</v>
      </c>
      <c r="F1276" t="s">
        <v>3431</v>
      </c>
      <c r="G1276">
        <v>1</v>
      </c>
      <c r="H1276" t="s">
        <v>885</v>
      </c>
      <c r="I1276" t="s">
        <v>386</v>
      </c>
      <c r="J1276" t="s">
        <v>886</v>
      </c>
      <c r="K1276" t="s">
        <v>20</v>
      </c>
      <c r="L1276" t="s">
        <v>3432</v>
      </c>
      <c r="M1276" s="3" t="str">
        <f>HYPERLINK("..\..\Imagery\ScannedPhotos\1993\CG93-076.jpg")</f>
        <v>..\..\Imagery\ScannedPhotos\1993\CG93-076.jpg</v>
      </c>
    </row>
    <row r="1277" spans="1:13" x14ac:dyDescent="0.25">
      <c r="A1277" t="s">
        <v>601</v>
      </c>
      <c r="B1277">
        <v>544259</v>
      </c>
      <c r="C1277">
        <v>5732140</v>
      </c>
      <c r="D1277">
        <v>21</v>
      </c>
      <c r="E1277" t="s">
        <v>15</v>
      </c>
      <c r="F1277" t="s">
        <v>3433</v>
      </c>
      <c r="G1277">
        <v>2</v>
      </c>
      <c r="H1277" t="s">
        <v>885</v>
      </c>
      <c r="I1277" t="s">
        <v>217</v>
      </c>
      <c r="J1277" t="s">
        <v>886</v>
      </c>
      <c r="K1277" t="s">
        <v>20</v>
      </c>
      <c r="L1277" t="s">
        <v>3434</v>
      </c>
      <c r="M1277" s="3" t="str">
        <f>HYPERLINK("..\..\Imagery\ScannedPhotos\1993\CG93-077.1.jpg")</f>
        <v>..\..\Imagery\ScannedPhotos\1993\CG93-077.1.jpg</v>
      </c>
    </row>
    <row r="1278" spans="1:13" x14ac:dyDescent="0.25">
      <c r="A1278" t="s">
        <v>3435</v>
      </c>
      <c r="B1278">
        <v>470759</v>
      </c>
      <c r="C1278">
        <v>6052322</v>
      </c>
      <c r="D1278">
        <v>21</v>
      </c>
      <c r="E1278" t="s">
        <v>15</v>
      </c>
      <c r="F1278" t="s">
        <v>3436</v>
      </c>
      <c r="G1278">
        <v>1</v>
      </c>
      <c r="H1278" t="s">
        <v>696</v>
      </c>
      <c r="I1278" t="s">
        <v>122</v>
      </c>
      <c r="J1278" t="s">
        <v>355</v>
      </c>
      <c r="K1278" t="s">
        <v>20</v>
      </c>
      <c r="L1278" t="s">
        <v>3437</v>
      </c>
      <c r="M1278" s="3" t="str">
        <f>HYPERLINK("..\..\Imagery\ScannedPhotos\1979\CG79-274.jpg")</f>
        <v>..\..\Imagery\ScannedPhotos\1979\CG79-274.jpg</v>
      </c>
    </row>
    <row r="1279" spans="1:13" x14ac:dyDescent="0.25">
      <c r="A1279" t="s">
        <v>3156</v>
      </c>
      <c r="B1279">
        <v>529988</v>
      </c>
      <c r="C1279">
        <v>5956544</v>
      </c>
      <c r="D1279">
        <v>21</v>
      </c>
      <c r="E1279" t="s">
        <v>15</v>
      </c>
      <c r="F1279" t="s">
        <v>3438</v>
      </c>
      <c r="G1279">
        <v>4</v>
      </c>
      <c r="H1279" t="s">
        <v>3158</v>
      </c>
      <c r="I1279" t="s">
        <v>18</v>
      </c>
      <c r="J1279" t="s">
        <v>48</v>
      </c>
      <c r="K1279" t="s">
        <v>20</v>
      </c>
      <c r="L1279" t="s">
        <v>3439</v>
      </c>
      <c r="M1279" s="3" t="str">
        <f>HYPERLINK("..\..\Imagery\ScannedPhotos\1981\VO81-147.3.jpg")</f>
        <v>..\..\Imagery\ScannedPhotos\1981\VO81-147.3.jpg</v>
      </c>
    </row>
    <row r="1280" spans="1:13" x14ac:dyDescent="0.25">
      <c r="A1280" t="s">
        <v>3421</v>
      </c>
      <c r="B1280">
        <v>524356</v>
      </c>
      <c r="C1280">
        <v>5731070</v>
      </c>
      <c r="D1280">
        <v>21</v>
      </c>
      <c r="E1280" t="s">
        <v>15</v>
      </c>
      <c r="F1280" t="s">
        <v>3440</v>
      </c>
      <c r="G1280">
        <v>2</v>
      </c>
      <c r="H1280" t="s">
        <v>885</v>
      </c>
      <c r="I1280" t="s">
        <v>85</v>
      </c>
      <c r="J1280" t="s">
        <v>886</v>
      </c>
      <c r="K1280" t="s">
        <v>228</v>
      </c>
      <c r="L1280" t="s">
        <v>3441</v>
      </c>
      <c r="M1280" s="3" t="str">
        <f>HYPERLINK("..\..\Imagery\ScannedPhotos\1993\CG93-064.1.jpg")</f>
        <v>..\..\Imagery\ScannedPhotos\1993\CG93-064.1.jpg</v>
      </c>
    </row>
    <row r="1281" spans="1:13" x14ac:dyDescent="0.25">
      <c r="A1281" t="s">
        <v>3442</v>
      </c>
      <c r="B1281">
        <v>523875</v>
      </c>
      <c r="C1281">
        <v>5730685</v>
      </c>
      <c r="D1281">
        <v>21</v>
      </c>
      <c r="E1281" t="s">
        <v>15</v>
      </c>
      <c r="F1281" t="s">
        <v>3443</v>
      </c>
      <c r="G1281">
        <v>1</v>
      </c>
      <c r="H1281" t="s">
        <v>885</v>
      </c>
      <c r="I1281" t="s">
        <v>94</v>
      </c>
      <c r="J1281" t="s">
        <v>886</v>
      </c>
      <c r="K1281" t="s">
        <v>20</v>
      </c>
      <c r="L1281" t="s">
        <v>3444</v>
      </c>
      <c r="M1281" s="3" t="str">
        <f>HYPERLINK("..\..\Imagery\ScannedPhotos\1993\CG93-065.jpg")</f>
        <v>..\..\Imagery\ScannedPhotos\1993\CG93-065.jpg</v>
      </c>
    </row>
    <row r="1282" spans="1:13" x14ac:dyDescent="0.25">
      <c r="A1282" t="s">
        <v>3445</v>
      </c>
      <c r="B1282">
        <v>479602</v>
      </c>
      <c r="C1282">
        <v>5935252</v>
      </c>
      <c r="D1282">
        <v>21</v>
      </c>
      <c r="E1282" t="s">
        <v>15</v>
      </c>
      <c r="F1282" t="s">
        <v>3446</v>
      </c>
      <c r="G1282">
        <v>5</v>
      </c>
      <c r="H1282" t="s">
        <v>2645</v>
      </c>
      <c r="I1282" t="s">
        <v>114</v>
      </c>
      <c r="J1282" t="s">
        <v>48</v>
      </c>
      <c r="K1282" t="s">
        <v>20</v>
      </c>
      <c r="L1282" t="s">
        <v>2646</v>
      </c>
      <c r="M1282" s="3" t="str">
        <f>HYPERLINK("..\..\Imagery\ScannedPhotos\1981\CG81-148.4.jpg")</f>
        <v>..\..\Imagery\ScannedPhotos\1981\CG81-148.4.jpg</v>
      </c>
    </row>
    <row r="1283" spans="1:13" x14ac:dyDescent="0.25">
      <c r="A1283" t="s">
        <v>3445</v>
      </c>
      <c r="B1283">
        <v>479602</v>
      </c>
      <c r="C1283">
        <v>5935252</v>
      </c>
      <c r="D1283">
        <v>21</v>
      </c>
      <c r="E1283" t="s">
        <v>15</v>
      </c>
      <c r="F1283" t="s">
        <v>3447</v>
      </c>
      <c r="G1283">
        <v>5</v>
      </c>
      <c r="H1283" t="s">
        <v>2645</v>
      </c>
      <c r="I1283" t="s">
        <v>119</v>
      </c>
      <c r="J1283" t="s">
        <v>48</v>
      </c>
      <c r="K1283" t="s">
        <v>20</v>
      </c>
      <c r="L1283" t="s">
        <v>2646</v>
      </c>
      <c r="M1283" s="3" t="str">
        <f>HYPERLINK("..\..\Imagery\ScannedPhotos\1981\CG81-148.5.jpg")</f>
        <v>..\..\Imagery\ScannedPhotos\1981\CG81-148.5.jpg</v>
      </c>
    </row>
    <row r="1284" spans="1:13" x14ac:dyDescent="0.25">
      <c r="A1284" t="s">
        <v>3448</v>
      </c>
      <c r="B1284">
        <v>479346</v>
      </c>
      <c r="C1284">
        <v>5935201</v>
      </c>
      <c r="D1284">
        <v>21</v>
      </c>
      <c r="E1284" t="s">
        <v>15</v>
      </c>
      <c r="F1284" t="s">
        <v>3449</v>
      </c>
      <c r="G1284">
        <v>2</v>
      </c>
      <c r="H1284" t="s">
        <v>107</v>
      </c>
      <c r="I1284" t="s">
        <v>18</v>
      </c>
      <c r="J1284" t="s">
        <v>48</v>
      </c>
      <c r="K1284" t="s">
        <v>20</v>
      </c>
      <c r="L1284" t="s">
        <v>2713</v>
      </c>
      <c r="M1284" s="3" t="str">
        <f>HYPERLINK("..\..\Imagery\ScannedPhotos\1981\CG81-149.1.jpg")</f>
        <v>..\..\Imagery\ScannedPhotos\1981\CG81-149.1.jpg</v>
      </c>
    </row>
    <row r="1285" spans="1:13" x14ac:dyDescent="0.25">
      <c r="A1285" t="s">
        <v>3448</v>
      </c>
      <c r="B1285">
        <v>479346</v>
      </c>
      <c r="C1285">
        <v>5935201</v>
      </c>
      <c r="D1285">
        <v>21</v>
      </c>
      <c r="E1285" t="s">
        <v>15</v>
      </c>
      <c r="F1285" t="s">
        <v>3450</v>
      </c>
      <c r="G1285">
        <v>2</v>
      </c>
      <c r="H1285" t="s">
        <v>107</v>
      </c>
      <c r="I1285" t="s">
        <v>35</v>
      </c>
      <c r="J1285" t="s">
        <v>48</v>
      </c>
      <c r="K1285" t="s">
        <v>20</v>
      </c>
      <c r="L1285" t="s">
        <v>2713</v>
      </c>
      <c r="M1285" s="3" t="str">
        <f>HYPERLINK("..\..\Imagery\ScannedPhotos\1981\CG81-149.2.jpg")</f>
        <v>..\..\Imagery\ScannedPhotos\1981\CG81-149.2.jpg</v>
      </c>
    </row>
    <row r="1286" spans="1:13" x14ac:dyDescent="0.25">
      <c r="A1286" t="s">
        <v>3451</v>
      </c>
      <c r="B1286">
        <v>375521</v>
      </c>
      <c r="C1286">
        <v>6116185</v>
      </c>
      <c r="D1286">
        <v>21</v>
      </c>
      <c r="E1286" t="s">
        <v>15</v>
      </c>
      <c r="F1286" t="s">
        <v>3452</v>
      </c>
      <c r="G1286">
        <v>4</v>
      </c>
      <c r="H1286" t="s">
        <v>609</v>
      </c>
      <c r="I1286" t="s">
        <v>79</v>
      </c>
      <c r="J1286" t="s">
        <v>610</v>
      </c>
      <c r="K1286" t="s">
        <v>20</v>
      </c>
      <c r="L1286" t="s">
        <v>3453</v>
      </c>
      <c r="M1286" s="3" t="str">
        <f>HYPERLINK("..\..\Imagery\ScannedPhotos\1979\AD79-003.2.jpg")</f>
        <v>..\..\Imagery\ScannedPhotos\1979\AD79-003.2.jpg</v>
      </c>
    </row>
    <row r="1287" spans="1:13" x14ac:dyDescent="0.25">
      <c r="A1287" t="s">
        <v>3454</v>
      </c>
      <c r="B1287">
        <v>449318</v>
      </c>
      <c r="C1287">
        <v>6006174</v>
      </c>
      <c r="D1287">
        <v>21</v>
      </c>
      <c r="E1287" t="s">
        <v>15</v>
      </c>
      <c r="F1287" t="s">
        <v>3455</v>
      </c>
      <c r="G1287">
        <v>1</v>
      </c>
      <c r="H1287" t="s">
        <v>93</v>
      </c>
      <c r="I1287" t="s">
        <v>126</v>
      </c>
      <c r="J1287" t="s">
        <v>95</v>
      </c>
      <c r="K1287" t="s">
        <v>20</v>
      </c>
      <c r="L1287" t="s">
        <v>3456</v>
      </c>
      <c r="M1287" s="3" t="str">
        <f>HYPERLINK("..\..\Imagery\ScannedPhotos\1980\CG80-271.jpg")</f>
        <v>..\..\Imagery\ScannedPhotos\1980\CG80-271.jpg</v>
      </c>
    </row>
    <row r="1288" spans="1:13" x14ac:dyDescent="0.25">
      <c r="A1288" t="s">
        <v>3457</v>
      </c>
      <c r="B1288">
        <v>459524</v>
      </c>
      <c r="C1288">
        <v>6004921</v>
      </c>
      <c r="D1288">
        <v>21</v>
      </c>
      <c r="E1288" t="s">
        <v>15</v>
      </c>
      <c r="F1288" t="s">
        <v>3458</v>
      </c>
      <c r="G1288">
        <v>1</v>
      </c>
      <c r="H1288" t="s">
        <v>93</v>
      </c>
      <c r="I1288" t="s">
        <v>132</v>
      </c>
      <c r="J1288" t="s">
        <v>95</v>
      </c>
      <c r="K1288" t="s">
        <v>20</v>
      </c>
      <c r="L1288" t="s">
        <v>3459</v>
      </c>
      <c r="M1288" s="3" t="str">
        <f>HYPERLINK("..\..\Imagery\ScannedPhotos\1980\CG80-275.jpg")</f>
        <v>..\..\Imagery\ScannedPhotos\1980\CG80-275.jpg</v>
      </c>
    </row>
    <row r="1289" spans="1:13" x14ac:dyDescent="0.25">
      <c r="A1289" t="s">
        <v>3460</v>
      </c>
      <c r="B1289">
        <v>459485</v>
      </c>
      <c r="C1289">
        <v>6005915</v>
      </c>
      <c r="D1289">
        <v>21</v>
      </c>
      <c r="E1289" t="s">
        <v>15</v>
      </c>
      <c r="F1289" t="s">
        <v>3461</v>
      </c>
      <c r="G1289">
        <v>2</v>
      </c>
      <c r="H1289" t="s">
        <v>93</v>
      </c>
      <c r="I1289" t="s">
        <v>143</v>
      </c>
      <c r="J1289" t="s">
        <v>95</v>
      </c>
      <c r="K1289" t="s">
        <v>20</v>
      </c>
      <c r="L1289" t="s">
        <v>3462</v>
      </c>
      <c r="M1289" s="3" t="str">
        <f>HYPERLINK("..\..\Imagery\ScannedPhotos\1980\CG80-278.2.jpg")</f>
        <v>..\..\Imagery\ScannedPhotos\1980\CG80-278.2.jpg</v>
      </c>
    </row>
    <row r="1290" spans="1:13" x14ac:dyDescent="0.25">
      <c r="A1290" t="s">
        <v>3460</v>
      </c>
      <c r="B1290">
        <v>459485</v>
      </c>
      <c r="C1290">
        <v>6005915</v>
      </c>
      <c r="D1290">
        <v>21</v>
      </c>
      <c r="E1290" t="s">
        <v>15</v>
      </c>
      <c r="F1290" t="s">
        <v>3463</v>
      </c>
      <c r="G1290">
        <v>2</v>
      </c>
      <c r="H1290" t="s">
        <v>93</v>
      </c>
      <c r="I1290" t="s">
        <v>129</v>
      </c>
      <c r="J1290" t="s">
        <v>95</v>
      </c>
      <c r="K1290" t="s">
        <v>20</v>
      </c>
      <c r="L1290" t="s">
        <v>3464</v>
      </c>
      <c r="M1290" s="3" t="str">
        <f>HYPERLINK("..\..\Imagery\ScannedPhotos\1980\CG80-278.1.jpg")</f>
        <v>..\..\Imagery\ScannedPhotos\1980\CG80-278.1.jpg</v>
      </c>
    </row>
    <row r="1291" spans="1:13" x14ac:dyDescent="0.25">
      <c r="A1291" t="s">
        <v>3465</v>
      </c>
      <c r="B1291">
        <v>552327</v>
      </c>
      <c r="C1291">
        <v>5820912</v>
      </c>
      <c r="D1291">
        <v>21</v>
      </c>
      <c r="E1291" t="s">
        <v>15</v>
      </c>
      <c r="F1291" t="s">
        <v>3466</v>
      </c>
      <c r="G1291">
        <v>1</v>
      </c>
      <c r="H1291" t="s">
        <v>2325</v>
      </c>
      <c r="I1291" t="s">
        <v>114</v>
      </c>
      <c r="J1291" t="s">
        <v>2019</v>
      </c>
      <c r="K1291" t="s">
        <v>56</v>
      </c>
      <c r="L1291" t="s">
        <v>3467</v>
      </c>
      <c r="M1291" s="3" t="str">
        <f>HYPERLINK("..\..\Imagery\ScannedPhotos\1986\MN86-064.jpg")</f>
        <v>..\..\Imagery\ScannedPhotos\1986\MN86-064.jpg</v>
      </c>
    </row>
    <row r="1292" spans="1:13" x14ac:dyDescent="0.25">
      <c r="A1292" t="s">
        <v>3468</v>
      </c>
      <c r="B1292">
        <v>528619</v>
      </c>
      <c r="C1292">
        <v>5864068</v>
      </c>
      <c r="D1292">
        <v>21</v>
      </c>
      <c r="E1292" t="s">
        <v>15</v>
      </c>
      <c r="F1292" t="s">
        <v>3469</v>
      </c>
      <c r="G1292">
        <v>1</v>
      </c>
      <c r="H1292" t="s">
        <v>2325</v>
      </c>
      <c r="I1292" t="s">
        <v>119</v>
      </c>
      <c r="J1292" t="s">
        <v>2019</v>
      </c>
      <c r="K1292" t="s">
        <v>56</v>
      </c>
      <c r="L1292" t="s">
        <v>3470</v>
      </c>
      <c r="M1292" s="3" t="str">
        <f>HYPERLINK("..\..\Imagery\ScannedPhotos\1986\MN86-070.jpg")</f>
        <v>..\..\Imagery\ScannedPhotos\1986\MN86-070.jpg</v>
      </c>
    </row>
    <row r="1293" spans="1:13" x14ac:dyDescent="0.25">
      <c r="A1293" t="s">
        <v>3471</v>
      </c>
      <c r="B1293">
        <v>525679</v>
      </c>
      <c r="C1293">
        <v>5858802</v>
      </c>
      <c r="D1293">
        <v>21</v>
      </c>
      <c r="E1293" t="s">
        <v>15</v>
      </c>
      <c r="F1293" t="s">
        <v>3472</v>
      </c>
      <c r="G1293">
        <v>1</v>
      </c>
      <c r="H1293" t="s">
        <v>2325</v>
      </c>
      <c r="I1293" t="s">
        <v>126</v>
      </c>
      <c r="J1293" t="s">
        <v>2019</v>
      </c>
      <c r="K1293" t="s">
        <v>20</v>
      </c>
      <c r="L1293" t="s">
        <v>3470</v>
      </c>
      <c r="M1293" s="3" t="str">
        <f>HYPERLINK("..\..\Imagery\ScannedPhotos\1986\MN86-076.jpg")</f>
        <v>..\..\Imagery\ScannedPhotos\1986\MN86-076.jpg</v>
      </c>
    </row>
    <row r="1294" spans="1:13" x14ac:dyDescent="0.25">
      <c r="A1294" t="s">
        <v>3473</v>
      </c>
      <c r="B1294">
        <v>522232</v>
      </c>
      <c r="C1294">
        <v>5857801</v>
      </c>
      <c r="D1294">
        <v>21</v>
      </c>
      <c r="E1294" t="s">
        <v>15</v>
      </c>
      <c r="F1294" t="s">
        <v>3474</v>
      </c>
      <c r="G1294">
        <v>1</v>
      </c>
      <c r="H1294" t="s">
        <v>2325</v>
      </c>
      <c r="I1294" t="s">
        <v>108</v>
      </c>
      <c r="J1294" t="s">
        <v>2019</v>
      </c>
      <c r="K1294" t="s">
        <v>20</v>
      </c>
      <c r="L1294" t="s">
        <v>3475</v>
      </c>
      <c r="M1294" s="3" t="str">
        <f>HYPERLINK("..\..\Imagery\ScannedPhotos\1986\MN86-078.jpg")</f>
        <v>..\..\Imagery\ScannedPhotos\1986\MN86-078.jpg</v>
      </c>
    </row>
    <row r="1295" spans="1:13" x14ac:dyDescent="0.25">
      <c r="A1295" t="s">
        <v>3476</v>
      </c>
      <c r="B1295">
        <v>541316</v>
      </c>
      <c r="C1295">
        <v>5865493</v>
      </c>
      <c r="D1295">
        <v>21</v>
      </c>
      <c r="E1295" t="s">
        <v>15</v>
      </c>
      <c r="F1295" t="s">
        <v>3477</v>
      </c>
      <c r="G1295">
        <v>2</v>
      </c>
      <c r="H1295" t="s">
        <v>201</v>
      </c>
      <c r="I1295" t="s">
        <v>281</v>
      </c>
      <c r="J1295" t="s">
        <v>202</v>
      </c>
      <c r="K1295" t="s">
        <v>20</v>
      </c>
      <c r="L1295" t="s">
        <v>3478</v>
      </c>
      <c r="M1295" s="3" t="str">
        <f>HYPERLINK("..\..\Imagery\ScannedPhotos\1986\MN86-089.2.jpg")</f>
        <v>..\..\Imagery\ScannedPhotos\1986\MN86-089.2.jpg</v>
      </c>
    </row>
    <row r="1296" spans="1:13" x14ac:dyDescent="0.25">
      <c r="A1296" t="s">
        <v>3476</v>
      </c>
      <c r="B1296">
        <v>541316</v>
      </c>
      <c r="C1296">
        <v>5865493</v>
      </c>
      <c r="D1296">
        <v>21</v>
      </c>
      <c r="E1296" t="s">
        <v>15</v>
      </c>
      <c r="F1296" t="s">
        <v>3479</v>
      </c>
      <c r="G1296">
        <v>2</v>
      </c>
      <c r="H1296" t="s">
        <v>201</v>
      </c>
      <c r="I1296" t="s">
        <v>79</v>
      </c>
      <c r="J1296" t="s">
        <v>202</v>
      </c>
      <c r="K1296" t="s">
        <v>20</v>
      </c>
      <c r="L1296" t="s">
        <v>3478</v>
      </c>
      <c r="M1296" s="3" t="str">
        <f>HYPERLINK("..\..\Imagery\ScannedPhotos\1986\MN86-089.1.jpg")</f>
        <v>..\..\Imagery\ScannedPhotos\1986\MN86-089.1.jpg</v>
      </c>
    </row>
    <row r="1297" spans="1:13" x14ac:dyDescent="0.25">
      <c r="A1297" t="s">
        <v>3480</v>
      </c>
      <c r="B1297">
        <v>552168</v>
      </c>
      <c r="C1297">
        <v>5859143</v>
      </c>
      <c r="D1297">
        <v>21</v>
      </c>
      <c r="E1297" t="s">
        <v>15</v>
      </c>
      <c r="F1297" t="s">
        <v>3481</v>
      </c>
      <c r="G1297">
        <v>1</v>
      </c>
      <c r="H1297" t="s">
        <v>2325</v>
      </c>
      <c r="I1297" t="s">
        <v>132</v>
      </c>
      <c r="J1297" t="s">
        <v>2019</v>
      </c>
      <c r="K1297" t="s">
        <v>56</v>
      </c>
      <c r="L1297" t="s">
        <v>3482</v>
      </c>
      <c r="M1297" s="3" t="str">
        <f>HYPERLINK("..\..\Imagery\ScannedPhotos\1986\MN86-100.jpg")</f>
        <v>..\..\Imagery\ScannedPhotos\1986\MN86-100.jpg</v>
      </c>
    </row>
    <row r="1298" spans="1:13" x14ac:dyDescent="0.25">
      <c r="A1298" t="s">
        <v>3483</v>
      </c>
      <c r="B1298">
        <v>570016</v>
      </c>
      <c r="C1298">
        <v>5871918</v>
      </c>
      <c r="D1298">
        <v>21</v>
      </c>
      <c r="E1298" t="s">
        <v>15</v>
      </c>
      <c r="F1298" t="s">
        <v>3484</v>
      </c>
      <c r="G1298">
        <v>1</v>
      </c>
      <c r="H1298" t="s">
        <v>2325</v>
      </c>
      <c r="I1298" t="s">
        <v>143</v>
      </c>
      <c r="J1298" t="s">
        <v>2019</v>
      </c>
      <c r="K1298" t="s">
        <v>20</v>
      </c>
      <c r="L1298" t="s">
        <v>3485</v>
      </c>
      <c r="M1298" s="3" t="str">
        <f>HYPERLINK("..\..\Imagery\ScannedPhotos\1986\MN86-113.jpg")</f>
        <v>..\..\Imagery\ScannedPhotos\1986\MN86-113.jpg</v>
      </c>
    </row>
    <row r="1299" spans="1:13" x14ac:dyDescent="0.25">
      <c r="A1299" t="s">
        <v>3486</v>
      </c>
      <c r="B1299">
        <v>559196</v>
      </c>
      <c r="C1299">
        <v>5824288</v>
      </c>
      <c r="D1299">
        <v>21</v>
      </c>
      <c r="E1299" t="s">
        <v>15</v>
      </c>
      <c r="F1299" t="s">
        <v>3487</v>
      </c>
      <c r="G1299">
        <v>1</v>
      </c>
      <c r="H1299" t="s">
        <v>2325</v>
      </c>
      <c r="I1299" t="s">
        <v>47</v>
      </c>
      <c r="J1299" t="s">
        <v>2019</v>
      </c>
      <c r="K1299" t="s">
        <v>20</v>
      </c>
      <c r="L1299" t="s">
        <v>3488</v>
      </c>
      <c r="M1299" s="3" t="str">
        <f>HYPERLINK("..\..\Imagery\ScannedPhotos\1986\MN86-123.jpg")</f>
        <v>..\..\Imagery\ScannedPhotos\1986\MN86-123.jpg</v>
      </c>
    </row>
    <row r="1300" spans="1:13" x14ac:dyDescent="0.25">
      <c r="A1300" t="s">
        <v>3489</v>
      </c>
      <c r="B1300">
        <v>560029</v>
      </c>
      <c r="C1300">
        <v>5823976</v>
      </c>
      <c r="D1300">
        <v>21</v>
      </c>
      <c r="E1300" t="s">
        <v>15</v>
      </c>
      <c r="F1300" t="s">
        <v>3490</v>
      </c>
      <c r="G1300">
        <v>1</v>
      </c>
      <c r="H1300" t="s">
        <v>2325</v>
      </c>
      <c r="I1300" t="s">
        <v>52</v>
      </c>
      <c r="J1300" t="s">
        <v>2019</v>
      </c>
      <c r="K1300" t="s">
        <v>20</v>
      </c>
      <c r="L1300" t="s">
        <v>3491</v>
      </c>
      <c r="M1300" s="3" t="str">
        <f>HYPERLINK("..\..\Imagery\ScannedPhotos\1986\MN86-125.jpg")</f>
        <v>..\..\Imagery\ScannedPhotos\1986\MN86-125.jpg</v>
      </c>
    </row>
    <row r="1301" spans="1:13" x14ac:dyDescent="0.25">
      <c r="A1301" t="s">
        <v>3492</v>
      </c>
      <c r="B1301">
        <v>560962</v>
      </c>
      <c r="C1301">
        <v>5824326</v>
      </c>
      <c r="D1301">
        <v>21</v>
      </c>
      <c r="E1301" t="s">
        <v>15</v>
      </c>
      <c r="F1301" t="s">
        <v>3493</v>
      </c>
      <c r="G1301">
        <v>1</v>
      </c>
      <c r="H1301" t="s">
        <v>299</v>
      </c>
      <c r="I1301" t="s">
        <v>294</v>
      </c>
      <c r="J1301" t="s">
        <v>300</v>
      </c>
      <c r="K1301" t="s">
        <v>56</v>
      </c>
      <c r="L1301" t="s">
        <v>3494</v>
      </c>
      <c r="M1301" s="3" t="str">
        <f>HYPERLINK("..\..\Imagery\ScannedPhotos\1986\MN86-128.jpg")</f>
        <v>..\..\Imagery\ScannedPhotos\1986\MN86-128.jpg</v>
      </c>
    </row>
    <row r="1302" spans="1:13" x14ac:dyDescent="0.25">
      <c r="A1302" t="s">
        <v>3495</v>
      </c>
      <c r="B1302">
        <v>561257</v>
      </c>
      <c r="C1302">
        <v>5824418</v>
      </c>
      <c r="D1302">
        <v>21</v>
      </c>
      <c r="E1302" t="s">
        <v>15</v>
      </c>
      <c r="F1302" t="s">
        <v>3496</v>
      </c>
      <c r="G1302">
        <v>1</v>
      </c>
      <c r="H1302" t="s">
        <v>299</v>
      </c>
      <c r="I1302" t="s">
        <v>79</v>
      </c>
      <c r="J1302" t="s">
        <v>300</v>
      </c>
      <c r="K1302" t="s">
        <v>56</v>
      </c>
      <c r="L1302" t="s">
        <v>305</v>
      </c>
      <c r="M1302" s="3" t="str">
        <f>HYPERLINK("..\..\Imagery\ScannedPhotos\1986\MN86-129.jpg")</f>
        <v>..\..\Imagery\ScannedPhotos\1986\MN86-129.jpg</v>
      </c>
    </row>
    <row r="1303" spans="1:13" x14ac:dyDescent="0.25">
      <c r="A1303" t="s">
        <v>3497</v>
      </c>
      <c r="B1303">
        <v>564844</v>
      </c>
      <c r="C1303">
        <v>5823478</v>
      </c>
      <c r="D1303">
        <v>21</v>
      </c>
      <c r="E1303" t="s">
        <v>15</v>
      </c>
      <c r="F1303" t="s">
        <v>3498</v>
      </c>
      <c r="G1303">
        <v>1</v>
      </c>
      <c r="H1303" t="s">
        <v>299</v>
      </c>
      <c r="I1303" t="s">
        <v>137</v>
      </c>
      <c r="J1303" t="s">
        <v>300</v>
      </c>
      <c r="K1303" t="s">
        <v>20</v>
      </c>
      <c r="L1303" t="s">
        <v>305</v>
      </c>
      <c r="M1303" s="3" t="str">
        <f>HYPERLINK("..\..\Imagery\ScannedPhotos\1986\MN86-137.jpg")</f>
        <v>..\..\Imagery\ScannedPhotos\1986\MN86-137.jpg</v>
      </c>
    </row>
    <row r="1304" spans="1:13" x14ac:dyDescent="0.25">
      <c r="A1304" t="s">
        <v>3499</v>
      </c>
      <c r="B1304">
        <v>362936</v>
      </c>
      <c r="C1304">
        <v>5895594</v>
      </c>
      <c r="D1304">
        <v>21</v>
      </c>
      <c r="E1304" t="s">
        <v>15</v>
      </c>
      <c r="F1304" t="s">
        <v>3500</v>
      </c>
      <c r="G1304">
        <v>7</v>
      </c>
      <c r="K1304" t="s">
        <v>109</v>
      </c>
      <c r="L1304" t="s">
        <v>3501</v>
      </c>
      <c r="M1304" s="3" t="str">
        <f>HYPERLINK("..\..\Imagery\ScannedPhotos\2007\CG07-110.6.jpg")</f>
        <v>..\..\Imagery\ScannedPhotos\2007\CG07-110.6.jpg</v>
      </c>
    </row>
    <row r="1305" spans="1:13" x14ac:dyDescent="0.25">
      <c r="A1305" t="s">
        <v>3499</v>
      </c>
      <c r="B1305">
        <v>362936</v>
      </c>
      <c r="C1305">
        <v>5895594</v>
      </c>
      <c r="D1305">
        <v>21</v>
      </c>
      <c r="E1305" t="s">
        <v>15</v>
      </c>
      <c r="F1305" t="s">
        <v>3502</v>
      </c>
      <c r="G1305">
        <v>7</v>
      </c>
      <c r="K1305" t="s">
        <v>109</v>
      </c>
      <c r="L1305" t="s">
        <v>3501</v>
      </c>
      <c r="M1305" s="3" t="str">
        <f>HYPERLINK("..\..\Imagery\ScannedPhotos\2007\CG07-110.7.jpg")</f>
        <v>..\..\Imagery\ScannedPhotos\2007\CG07-110.7.jpg</v>
      </c>
    </row>
    <row r="1306" spans="1:13" x14ac:dyDescent="0.25">
      <c r="A1306" t="s">
        <v>3503</v>
      </c>
      <c r="B1306">
        <v>596307</v>
      </c>
      <c r="C1306">
        <v>5792716</v>
      </c>
      <c r="D1306">
        <v>21</v>
      </c>
      <c r="E1306" t="s">
        <v>15</v>
      </c>
      <c r="F1306" t="s">
        <v>3504</v>
      </c>
      <c r="G1306">
        <v>1</v>
      </c>
      <c r="K1306" t="s">
        <v>20</v>
      </c>
      <c r="L1306" t="s">
        <v>3505</v>
      </c>
      <c r="M1306" s="3" t="str">
        <f>HYPERLINK("..\..\Imagery\ScannedPhotos\2007\CG07-122.jpg")</f>
        <v>..\..\Imagery\ScannedPhotos\2007\CG07-122.jpg</v>
      </c>
    </row>
    <row r="1307" spans="1:13" x14ac:dyDescent="0.25">
      <c r="A1307" t="s">
        <v>3506</v>
      </c>
      <c r="B1307">
        <v>596318</v>
      </c>
      <c r="C1307">
        <v>5792715</v>
      </c>
      <c r="D1307">
        <v>21</v>
      </c>
      <c r="E1307" t="s">
        <v>15</v>
      </c>
      <c r="F1307" t="s">
        <v>3507</v>
      </c>
      <c r="G1307">
        <v>8</v>
      </c>
      <c r="K1307" t="s">
        <v>20</v>
      </c>
      <c r="L1307" t="s">
        <v>3508</v>
      </c>
      <c r="M1307" s="3" t="str">
        <f>HYPERLINK("..\..\Imagery\ScannedPhotos\2007\CG07-123.1.jpg")</f>
        <v>..\..\Imagery\ScannedPhotos\2007\CG07-123.1.jpg</v>
      </c>
    </row>
    <row r="1308" spans="1:13" x14ac:dyDescent="0.25">
      <c r="A1308" t="s">
        <v>3506</v>
      </c>
      <c r="B1308">
        <v>596318</v>
      </c>
      <c r="C1308">
        <v>5792715</v>
      </c>
      <c r="D1308">
        <v>21</v>
      </c>
      <c r="E1308" t="s">
        <v>15</v>
      </c>
      <c r="F1308" t="s">
        <v>3509</v>
      </c>
      <c r="G1308">
        <v>8</v>
      </c>
      <c r="K1308" t="s">
        <v>20</v>
      </c>
      <c r="L1308" t="s">
        <v>3510</v>
      </c>
      <c r="M1308" s="3" t="str">
        <f>HYPERLINK("..\..\Imagery\ScannedPhotos\2007\CG07-123.2.jpg")</f>
        <v>..\..\Imagery\ScannedPhotos\2007\CG07-123.2.jpg</v>
      </c>
    </row>
    <row r="1309" spans="1:13" x14ac:dyDescent="0.25">
      <c r="A1309" t="s">
        <v>3511</v>
      </c>
      <c r="B1309">
        <v>434975</v>
      </c>
      <c r="C1309">
        <v>5898877</v>
      </c>
      <c r="D1309">
        <v>21</v>
      </c>
      <c r="E1309" t="s">
        <v>15</v>
      </c>
      <c r="F1309" t="s">
        <v>3512</v>
      </c>
      <c r="G1309">
        <v>3</v>
      </c>
      <c r="H1309" t="s">
        <v>2065</v>
      </c>
      <c r="I1309" t="s">
        <v>386</v>
      </c>
      <c r="J1309" t="s">
        <v>156</v>
      </c>
      <c r="K1309" t="s">
        <v>56</v>
      </c>
      <c r="L1309" t="s">
        <v>3513</v>
      </c>
      <c r="M1309" s="3" t="str">
        <f>HYPERLINK("..\..\Imagery\ScannedPhotos\1984\NN84-057.1.jpg")</f>
        <v>..\..\Imagery\ScannedPhotos\1984\NN84-057.1.jpg</v>
      </c>
    </row>
    <row r="1310" spans="1:13" x14ac:dyDescent="0.25">
      <c r="A1310" t="s">
        <v>3511</v>
      </c>
      <c r="B1310">
        <v>434975</v>
      </c>
      <c r="C1310">
        <v>5898877</v>
      </c>
      <c r="D1310">
        <v>21</v>
      </c>
      <c r="E1310" t="s">
        <v>15</v>
      </c>
      <c r="F1310" t="s">
        <v>3514</v>
      </c>
      <c r="G1310">
        <v>3</v>
      </c>
      <c r="H1310" t="s">
        <v>2065</v>
      </c>
      <c r="I1310" t="s">
        <v>214</v>
      </c>
      <c r="J1310" t="s">
        <v>156</v>
      </c>
      <c r="K1310" t="s">
        <v>56</v>
      </c>
      <c r="L1310" t="s">
        <v>3515</v>
      </c>
      <c r="M1310" s="3" t="str">
        <f>HYPERLINK("..\..\Imagery\ScannedPhotos\1984\NN84-057.3.jpg")</f>
        <v>..\..\Imagery\ScannedPhotos\1984\NN84-057.3.jpg</v>
      </c>
    </row>
    <row r="1311" spans="1:13" x14ac:dyDescent="0.25">
      <c r="A1311" t="s">
        <v>14</v>
      </c>
      <c r="B1311">
        <v>551495</v>
      </c>
      <c r="C1311">
        <v>5821595</v>
      </c>
      <c r="D1311">
        <v>21</v>
      </c>
      <c r="E1311" t="s">
        <v>15</v>
      </c>
      <c r="F1311" t="s">
        <v>3516</v>
      </c>
      <c r="G1311">
        <v>16</v>
      </c>
      <c r="H1311" t="s">
        <v>1066</v>
      </c>
      <c r="I1311" t="s">
        <v>129</v>
      </c>
      <c r="J1311" t="s">
        <v>36</v>
      </c>
      <c r="K1311" t="s">
        <v>20</v>
      </c>
      <c r="L1311" t="s">
        <v>3517</v>
      </c>
      <c r="M1311" s="3" t="str">
        <f>HYPERLINK("..\..\Imagery\ScannedPhotos\1986\CG86-018.3.jpg")</f>
        <v>..\..\Imagery\ScannedPhotos\1986\CG86-018.3.jpg</v>
      </c>
    </row>
    <row r="1312" spans="1:13" x14ac:dyDescent="0.25">
      <c r="A1312" t="s">
        <v>14</v>
      </c>
      <c r="B1312">
        <v>551495</v>
      </c>
      <c r="C1312">
        <v>5821595</v>
      </c>
      <c r="D1312">
        <v>21</v>
      </c>
      <c r="E1312" t="s">
        <v>15</v>
      </c>
      <c r="F1312" t="s">
        <v>3518</v>
      </c>
      <c r="G1312">
        <v>16</v>
      </c>
      <c r="H1312" t="s">
        <v>1066</v>
      </c>
      <c r="I1312" t="s">
        <v>132</v>
      </c>
      <c r="J1312" t="s">
        <v>36</v>
      </c>
      <c r="K1312" t="s">
        <v>20</v>
      </c>
      <c r="L1312" t="s">
        <v>858</v>
      </c>
      <c r="M1312" s="3" t="str">
        <f>HYPERLINK("..\..\Imagery\ScannedPhotos\1986\CG86-018.2.jpg")</f>
        <v>..\..\Imagery\ScannedPhotos\1986\CG86-018.2.jpg</v>
      </c>
    </row>
    <row r="1313" spans="1:13" x14ac:dyDescent="0.25">
      <c r="A1313" t="s">
        <v>14</v>
      </c>
      <c r="B1313">
        <v>551495</v>
      </c>
      <c r="C1313">
        <v>5821595</v>
      </c>
      <c r="D1313">
        <v>21</v>
      </c>
      <c r="E1313" t="s">
        <v>15</v>
      </c>
      <c r="F1313" t="s">
        <v>3519</v>
      </c>
      <c r="G1313">
        <v>16</v>
      </c>
      <c r="H1313" t="s">
        <v>1066</v>
      </c>
      <c r="I1313" t="s">
        <v>108</v>
      </c>
      <c r="J1313" t="s">
        <v>36</v>
      </c>
      <c r="K1313" t="s">
        <v>20</v>
      </c>
      <c r="L1313" t="s">
        <v>858</v>
      </c>
      <c r="M1313" s="3" t="str">
        <f>HYPERLINK("..\..\Imagery\ScannedPhotos\1986\CG86-018.1.jpg")</f>
        <v>..\..\Imagery\ScannedPhotos\1986\CG86-018.1.jpg</v>
      </c>
    </row>
    <row r="1314" spans="1:13" x14ac:dyDescent="0.25">
      <c r="A1314" t="s">
        <v>3520</v>
      </c>
      <c r="B1314">
        <v>545842</v>
      </c>
      <c r="C1314">
        <v>5857545</v>
      </c>
      <c r="D1314">
        <v>21</v>
      </c>
      <c r="E1314" t="s">
        <v>15</v>
      </c>
      <c r="F1314" t="s">
        <v>3521</v>
      </c>
      <c r="G1314">
        <v>2</v>
      </c>
      <c r="H1314" t="s">
        <v>68</v>
      </c>
      <c r="I1314" t="s">
        <v>41</v>
      </c>
      <c r="J1314" t="s">
        <v>70</v>
      </c>
      <c r="K1314" t="s">
        <v>20</v>
      </c>
      <c r="L1314" t="s">
        <v>3522</v>
      </c>
      <c r="M1314" s="3" t="str">
        <f>HYPERLINK("..\..\Imagery\ScannedPhotos\1986\SN86-154.1.jpg")</f>
        <v>..\..\Imagery\ScannedPhotos\1986\SN86-154.1.jpg</v>
      </c>
    </row>
    <row r="1315" spans="1:13" x14ac:dyDescent="0.25">
      <c r="A1315" t="s">
        <v>3523</v>
      </c>
      <c r="B1315">
        <v>400705</v>
      </c>
      <c r="C1315">
        <v>5868959</v>
      </c>
      <c r="D1315">
        <v>21</v>
      </c>
      <c r="E1315" t="s">
        <v>15</v>
      </c>
      <c r="F1315" t="s">
        <v>3524</v>
      </c>
      <c r="G1315">
        <v>2</v>
      </c>
      <c r="H1315" t="s">
        <v>1919</v>
      </c>
      <c r="I1315" t="s">
        <v>647</v>
      </c>
      <c r="J1315" t="s">
        <v>771</v>
      </c>
      <c r="K1315" t="s">
        <v>56</v>
      </c>
      <c r="L1315" t="s">
        <v>3525</v>
      </c>
      <c r="M1315" s="3" t="str">
        <f>HYPERLINK("..\..\Imagery\ScannedPhotos\1997\CG97-090.2.jpg")</f>
        <v>..\..\Imagery\ScannedPhotos\1997\CG97-090.2.jpg</v>
      </c>
    </row>
    <row r="1316" spans="1:13" x14ac:dyDescent="0.25">
      <c r="A1316" t="s">
        <v>3526</v>
      </c>
      <c r="B1316">
        <v>534500</v>
      </c>
      <c r="C1316">
        <v>5725820</v>
      </c>
      <c r="D1316">
        <v>21</v>
      </c>
      <c r="E1316" t="s">
        <v>15</v>
      </c>
      <c r="F1316" t="s">
        <v>3527</v>
      </c>
      <c r="G1316">
        <v>3</v>
      </c>
      <c r="H1316" t="s">
        <v>885</v>
      </c>
      <c r="I1316" t="s">
        <v>122</v>
      </c>
      <c r="J1316" t="s">
        <v>886</v>
      </c>
      <c r="K1316" t="s">
        <v>20</v>
      </c>
      <c r="L1316" t="s">
        <v>3528</v>
      </c>
      <c r="M1316" s="3" t="str">
        <f>HYPERLINK("..\..\Imagery\ScannedPhotos\1993\CG93-122.3.jpg")</f>
        <v>..\..\Imagery\ScannedPhotos\1993\CG93-122.3.jpg</v>
      </c>
    </row>
    <row r="1317" spans="1:13" x14ac:dyDescent="0.25">
      <c r="A1317" t="s">
        <v>3529</v>
      </c>
      <c r="B1317">
        <v>542958</v>
      </c>
      <c r="C1317">
        <v>5838474</v>
      </c>
      <c r="D1317">
        <v>21</v>
      </c>
      <c r="E1317" t="s">
        <v>15</v>
      </c>
      <c r="F1317" t="s">
        <v>3530</v>
      </c>
      <c r="G1317">
        <v>2</v>
      </c>
      <c r="K1317" t="s">
        <v>56</v>
      </c>
      <c r="L1317" t="s">
        <v>3531</v>
      </c>
      <c r="M1317" s="3" t="str">
        <f>HYPERLINK("..\..\Imagery\ScannedPhotos\2004\CG04-043.1.jpg")</f>
        <v>..\..\Imagery\ScannedPhotos\2004\CG04-043.1.jpg</v>
      </c>
    </row>
    <row r="1318" spans="1:13" x14ac:dyDescent="0.25">
      <c r="A1318" t="s">
        <v>3529</v>
      </c>
      <c r="B1318">
        <v>542958</v>
      </c>
      <c r="C1318">
        <v>5838474</v>
      </c>
      <c r="D1318">
        <v>21</v>
      </c>
      <c r="E1318" t="s">
        <v>15</v>
      </c>
      <c r="F1318" t="s">
        <v>3532</v>
      </c>
      <c r="G1318">
        <v>2</v>
      </c>
      <c r="K1318" t="s">
        <v>56</v>
      </c>
      <c r="L1318" t="s">
        <v>3531</v>
      </c>
      <c r="M1318" s="3" t="str">
        <f>HYPERLINK("..\..\Imagery\ScannedPhotos\2004\CG04-043.2.jpg")</f>
        <v>..\..\Imagery\ScannedPhotos\2004\CG04-043.2.jpg</v>
      </c>
    </row>
    <row r="1319" spans="1:13" x14ac:dyDescent="0.25">
      <c r="A1319" t="s">
        <v>3533</v>
      </c>
      <c r="B1319">
        <v>410757</v>
      </c>
      <c r="C1319">
        <v>5995738</v>
      </c>
      <c r="D1319">
        <v>21</v>
      </c>
      <c r="E1319" t="s">
        <v>15</v>
      </c>
      <c r="F1319" t="s">
        <v>3534</v>
      </c>
      <c r="G1319">
        <v>3</v>
      </c>
      <c r="H1319" t="s">
        <v>900</v>
      </c>
      <c r="I1319" t="s">
        <v>35</v>
      </c>
      <c r="J1319" t="s">
        <v>652</v>
      </c>
      <c r="K1319" t="s">
        <v>20</v>
      </c>
      <c r="L1319" t="s">
        <v>3535</v>
      </c>
      <c r="M1319" s="3" t="str">
        <f>HYPERLINK("..\..\Imagery\ScannedPhotos\1980\RG80-009.1.jpg")</f>
        <v>..\..\Imagery\ScannedPhotos\1980\RG80-009.1.jpg</v>
      </c>
    </row>
    <row r="1320" spans="1:13" x14ac:dyDescent="0.25">
      <c r="A1320" t="s">
        <v>3533</v>
      </c>
      <c r="B1320">
        <v>410757</v>
      </c>
      <c r="C1320">
        <v>5995738</v>
      </c>
      <c r="D1320">
        <v>21</v>
      </c>
      <c r="E1320" t="s">
        <v>15</v>
      </c>
      <c r="F1320" t="s">
        <v>3536</v>
      </c>
      <c r="G1320">
        <v>3</v>
      </c>
      <c r="H1320" t="s">
        <v>900</v>
      </c>
      <c r="I1320" t="s">
        <v>69</v>
      </c>
      <c r="J1320" t="s">
        <v>652</v>
      </c>
      <c r="K1320" t="s">
        <v>20</v>
      </c>
      <c r="L1320" t="s">
        <v>3537</v>
      </c>
      <c r="M1320" s="3" t="str">
        <f>HYPERLINK("..\..\Imagery\ScannedPhotos\1980\RG80-009.2.jpg")</f>
        <v>..\..\Imagery\ScannedPhotos\1980\RG80-009.2.jpg</v>
      </c>
    </row>
    <row r="1321" spans="1:13" x14ac:dyDescent="0.25">
      <c r="A1321" t="s">
        <v>3538</v>
      </c>
      <c r="B1321">
        <v>451280</v>
      </c>
      <c r="C1321">
        <v>5918424</v>
      </c>
      <c r="D1321">
        <v>21</v>
      </c>
      <c r="E1321" t="s">
        <v>15</v>
      </c>
      <c r="F1321" t="s">
        <v>3539</v>
      </c>
      <c r="G1321">
        <v>2</v>
      </c>
      <c r="H1321" t="s">
        <v>1333</v>
      </c>
      <c r="I1321" t="s">
        <v>94</v>
      </c>
      <c r="J1321" t="s">
        <v>1334</v>
      </c>
      <c r="K1321" t="s">
        <v>20</v>
      </c>
      <c r="L1321" t="s">
        <v>3540</v>
      </c>
      <c r="M1321" s="3" t="str">
        <f>HYPERLINK("..\..\Imagery\ScannedPhotos\1984\CG84-137.1.jpg")</f>
        <v>..\..\Imagery\ScannedPhotos\1984\CG84-137.1.jpg</v>
      </c>
    </row>
    <row r="1322" spans="1:13" x14ac:dyDescent="0.25">
      <c r="A1322" t="s">
        <v>3538</v>
      </c>
      <c r="B1322">
        <v>451280</v>
      </c>
      <c r="C1322">
        <v>5918424</v>
      </c>
      <c r="D1322">
        <v>21</v>
      </c>
      <c r="E1322" t="s">
        <v>15</v>
      </c>
      <c r="F1322" t="s">
        <v>3541</v>
      </c>
      <c r="G1322">
        <v>2</v>
      </c>
      <c r="H1322" t="s">
        <v>1333</v>
      </c>
      <c r="I1322" t="s">
        <v>209</v>
      </c>
      <c r="J1322" t="s">
        <v>1334</v>
      </c>
      <c r="K1322" t="s">
        <v>20</v>
      </c>
      <c r="L1322" t="s">
        <v>3540</v>
      </c>
      <c r="M1322" s="3" t="str">
        <f>HYPERLINK("..\..\Imagery\ScannedPhotos\1984\CG84-137.2.jpg")</f>
        <v>..\..\Imagery\ScannedPhotos\1984\CG84-137.2.jpg</v>
      </c>
    </row>
    <row r="1323" spans="1:13" x14ac:dyDescent="0.25">
      <c r="A1323" t="s">
        <v>3542</v>
      </c>
      <c r="B1323">
        <v>482076</v>
      </c>
      <c r="C1323">
        <v>5826337</v>
      </c>
      <c r="D1323">
        <v>21</v>
      </c>
      <c r="E1323" t="s">
        <v>15</v>
      </c>
      <c r="F1323" t="s">
        <v>3543</v>
      </c>
      <c r="G1323">
        <v>1</v>
      </c>
      <c r="H1323" t="s">
        <v>849</v>
      </c>
      <c r="I1323" t="s">
        <v>647</v>
      </c>
      <c r="J1323" t="s">
        <v>850</v>
      </c>
      <c r="K1323" t="s">
        <v>20</v>
      </c>
      <c r="L1323" t="s">
        <v>3544</v>
      </c>
      <c r="M1323" s="3" t="str">
        <f>HYPERLINK("..\..\Imagery\ScannedPhotos\1991\VN91-192.jpg")</f>
        <v>..\..\Imagery\ScannedPhotos\1991\VN91-192.jpg</v>
      </c>
    </row>
    <row r="1324" spans="1:13" x14ac:dyDescent="0.25">
      <c r="A1324" t="s">
        <v>3545</v>
      </c>
      <c r="B1324">
        <v>479467</v>
      </c>
      <c r="C1324">
        <v>5825767</v>
      </c>
      <c r="D1324">
        <v>21</v>
      </c>
      <c r="E1324" t="s">
        <v>15</v>
      </c>
      <c r="F1324" t="s">
        <v>3546</v>
      </c>
      <c r="G1324">
        <v>1</v>
      </c>
      <c r="H1324" t="s">
        <v>849</v>
      </c>
      <c r="I1324" t="s">
        <v>30</v>
      </c>
      <c r="J1324" t="s">
        <v>850</v>
      </c>
      <c r="K1324" t="s">
        <v>20</v>
      </c>
      <c r="L1324" t="s">
        <v>3547</v>
      </c>
      <c r="M1324" s="3" t="str">
        <f>HYPERLINK("..\..\Imagery\ScannedPhotos\1991\VN91-193.jpg")</f>
        <v>..\..\Imagery\ScannedPhotos\1991\VN91-193.jpg</v>
      </c>
    </row>
    <row r="1325" spans="1:13" x14ac:dyDescent="0.25">
      <c r="A1325" t="s">
        <v>3548</v>
      </c>
      <c r="B1325">
        <v>472050</v>
      </c>
      <c r="C1325">
        <v>5859375</v>
      </c>
      <c r="D1325">
        <v>21</v>
      </c>
      <c r="E1325" t="s">
        <v>15</v>
      </c>
      <c r="F1325" t="s">
        <v>3549</v>
      </c>
      <c r="G1325">
        <v>19</v>
      </c>
      <c r="H1325" t="s">
        <v>2719</v>
      </c>
      <c r="I1325" t="s">
        <v>418</v>
      </c>
      <c r="J1325" t="s">
        <v>891</v>
      </c>
      <c r="K1325" t="s">
        <v>20</v>
      </c>
      <c r="L1325" t="s">
        <v>3550</v>
      </c>
      <c r="M1325" s="3" t="str">
        <f>HYPERLINK("..\..\Imagery\ScannedPhotos\1991\VN91-264.11.jpg")</f>
        <v>..\..\Imagery\ScannedPhotos\1991\VN91-264.11.jpg</v>
      </c>
    </row>
    <row r="1326" spans="1:13" x14ac:dyDescent="0.25">
      <c r="A1326" t="s">
        <v>1445</v>
      </c>
      <c r="B1326">
        <v>596752</v>
      </c>
      <c r="C1326">
        <v>5792346</v>
      </c>
      <c r="D1326">
        <v>21</v>
      </c>
      <c r="E1326" t="s">
        <v>15</v>
      </c>
      <c r="F1326" t="s">
        <v>3551</v>
      </c>
      <c r="G1326">
        <v>4</v>
      </c>
      <c r="K1326" t="s">
        <v>56</v>
      </c>
      <c r="L1326" t="s">
        <v>3552</v>
      </c>
      <c r="M1326" s="3" t="str">
        <f>HYPERLINK("..\..\Imagery\ScannedPhotos\2007\CG07-173.2.jpg")</f>
        <v>..\..\Imagery\ScannedPhotos\2007\CG07-173.2.jpg</v>
      </c>
    </row>
    <row r="1327" spans="1:13" x14ac:dyDescent="0.25">
      <c r="A1327" t="s">
        <v>3553</v>
      </c>
      <c r="B1327">
        <v>575777</v>
      </c>
      <c r="C1327">
        <v>5827833</v>
      </c>
      <c r="D1327">
        <v>21</v>
      </c>
      <c r="E1327" t="s">
        <v>15</v>
      </c>
      <c r="F1327" t="s">
        <v>3554</v>
      </c>
      <c r="G1327">
        <v>7</v>
      </c>
      <c r="H1327" t="s">
        <v>288</v>
      </c>
      <c r="I1327" t="s">
        <v>647</v>
      </c>
      <c r="J1327" t="s">
        <v>289</v>
      </c>
      <c r="K1327" t="s">
        <v>20</v>
      </c>
      <c r="L1327" t="s">
        <v>3555</v>
      </c>
      <c r="M1327" s="3" t="str">
        <f>HYPERLINK("..\..\Imagery\ScannedPhotos\1986\CG86-688.5.jpg")</f>
        <v>..\..\Imagery\ScannedPhotos\1986\CG86-688.5.jpg</v>
      </c>
    </row>
    <row r="1328" spans="1:13" x14ac:dyDescent="0.25">
      <c r="A1328" t="s">
        <v>3556</v>
      </c>
      <c r="B1328">
        <v>537630</v>
      </c>
      <c r="C1328">
        <v>5729722</v>
      </c>
      <c r="D1328">
        <v>21</v>
      </c>
      <c r="E1328" t="s">
        <v>15</v>
      </c>
      <c r="F1328" t="s">
        <v>3557</v>
      </c>
      <c r="G1328">
        <v>1</v>
      </c>
      <c r="H1328" t="s">
        <v>1061</v>
      </c>
      <c r="I1328" t="s">
        <v>52</v>
      </c>
      <c r="J1328" t="s">
        <v>1062</v>
      </c>
      <c r="K1328" t="s">
        <v>20</v>
      </c>
      <c r="L1328" t="s">
        <v>3558</v>
      </c>
      <c r="M1328" s="3" t="str">
        <f>HYPERLINK("..\..\Imagery\ScannedPhotos\1993\CG93-035.jpg")</f>
        <v>..\..\Imagery\ScannedPhotos\1993\CG93-035.jpg</v>
      </c>
    </row>
    <row r="1329" spans="1:13" x14ac:dyDescent="0.25">
      <c r="A1329" t="s">
        <v>3559</v>
      </c>
      <c r="B1329">
        <v>539723</v>
      </c>
      <c r="C1329">
        <v>5736976</v>
      </c>
      <c r="D1329">
        <v>21</v>
      </c>
      <c r="E1329" t="s">
        <v>15</v>
      </c>
      <c r="F1329" t="s">
        <v>3560</v>
      </c>
      <c r="G1329">
        <v>1</v>
      </c>
      <c r="H1329" t="s">
        <v>885</v>
      </c>
      <c r="I1329" t="s">
        <v>79</v>
      </c>
      <c r="J1329" t="s">
        <v>886</v>
      </c>
      <c r="K1329" t="s">
        <v>56</v>
      </c>
      <c r="L1329" t="s">
        <v>3561</v>
      </c>
      <c r="M1329" s="3" t="str">
        <f>HYPERLINK("..\..\Imagery\ScannedPhotos\1993\CG93-043.jpg")</f>
        <v>..\..\Imagery\ScannedPhotos\1993\CG93-043.jpg</v>
      </c>
    </row>
    <row r="1330" spans="1:13" x14ac:dyDescent="0.25">
      <c r="A1330" t="s">
        <v>3562</v>
      </c>
      <c r="B1330">
        <v>540618</v>
      </c>
      <c r="C1330">
        <v>5737262</v>
      </c>
      <c r="D1330">
        <v>21</v>
      </c>
      <c r="E1330" t="s">
        <v>15</v>
      </c>
      <c r="F1330" t="s">
        <v>3563</v>
      </c>
      <c r="G1330">
        <v>1</v>
      </c>
      <c r="H1330" t="s">
        <v>885</v>
      </c>
      <c r="I1330" t="s">
        <v>281</v>
      </c>
      <c r="J1330" t="s">
        <v>886</v>
      </c>
      <c r="K1330" t="s">
        <v>56</v>
      </c>
      <c r="L1330" t="s">
        <v>3564</v>
      </c>
      <c r="M1330" s="3" t="str">
        <f>HYPERLINK("..\..\Imagery\ScannedPhotos\1993\CG93-047.jpg")</f>
        <v>..\..\Imagery\ScannedPhotos\1993\CG93-047.jpg</v>
      </c>
    </row>
    <row r="1331" spans="1:13" x14ac:dyDescent="0.25">
      <c r="A1331" t="s">
        <v>3565</v>
      </c>
      <c r="B1331">
        <v>471116</v>
      </c>
      <c r="C1331">
        <v>5912593</v>
      </c>
      <c r="D1331">
        <v>21</v>
      </c>
      <c r="E1331" t="s">
        <v>15</v>
      </c>
      <c r="F1331" t="s">
        <v>3566</v>
      </c>
      <c r="G1331">
        <v>2</v>
      </c>
      <c r="K1331" t="s">
        <v>56</v>
      </c>
      <c r="L1331" t="s">
        <v>337</v>
      </c>
      <c r="M1331" s="3" t="str">
        <f>HYPERLINK("..\..\Imagery\ScannedPhotos\2004\CG04-205.2.jpg")</f>
        <v>..\..\Imagery\ScannedPhotos\2004\CG04-205.2.jpg</v>
      </c>
    </row>
    <row r="1332" spans="1:13" x14ac:dyDescent="0.25">
      <c r="A1332" t="s">
        <v>3567</v>
      </c>
      <c r="B1332">
        <v>493089</v>
      </c>
      <c r="C1332">
        <v>5834135</v>
      </c>
      <c r="D1332">
        <v>21</v>
      </c>
      <c r="E1332" t="s">
        <v>15</v>
      </c>
      <c r="F1332" t="s">
        <v>3568</v>
      </c>
      <c r="G1332">
        <v>5</v>
      </c>
      <c r="H1332" t="s">
        <v>3569</v>
      </c>
      <c r="I1332" t="s">
        <v>108</v>
      </c>
      <c r="J1332" t="s">
        <v>850</v>
      </c>
      <c r="K1332" t="s">
        <v>56</v>
      </c>
      <c r="L1332" t="s">
        <v>3570</v>
      </c>
      <c r="M1332" s="3" t="str">
        <f>HYPERLINK("..\..\Imagery\ScannedPhotos\1991\VN91-078.4.jpg")</f>
        <v>..\..\Imagery\ScannedPhotos\1991\VN91-078.4.jpg</v>
      </c>
    </row>
    <row r="1333" spans="1:13" x14ac:dyDescent="0.25">
      <c r="A1333" t="s">
        <v>3567</v>
      </c>
      <c r="B1333">
        <v>493089</v>
      </c>
      <c r="C1333">
        <v>5834135</v>
      </c>
      <c r="D1333">
        <v>21</v>
      </c>
      <c r="E1333" t="s">
        <v>15</v>
      </c>
      <c r="F1333" t="s">
        <v>3571</v>
      </c>
      <c r="G1333">
        <v>5</v>
      </c>
      <c r="H1333" t="s">
        <v>3569</v>
      </c>
      <c r="I1333" t="s">
        <v>122</v>
      </c>
      <c r="J1333" t="s">
        <v>850</v>
      </c>
      <c r="K1333" t="s">
        <v>20</v>
      </c>
      <c r="L1333" t="s">
        <v>3572</v>
      </c>
      <c r="M1333" s="3" t="str">
        <f>HYPERLINK("..\..\Imagery\ScannedPhotos\1991\VN91-078.2.jpg")</f>
        <v>..\..\Imagery\ScannedPhotos\1991\VN91-078.2.jpg</v>
      </c>
    </row>
    <row r="1334" spans="1:13" x14ac:dyDescent="0.25">
      <c r="A1334" t="s">
        <v>3573</v>
      </c>
      <c r="B1334">
        <v>415874</v>
      </c>
      <c r="C1334">
        <v>6011235</v>
      </c>
      <c r="D1334">
        <v>21</v>
      </c>
      <c r="E1334" t="s">
        <v>15</v>
      </c>
      <c r="F1334" t="s">
        <v>3574</v>
      </c>
      <c r="G1334">
        <v>2</v>
      </c>
      <c r="H1334" t="s">
        <v>2319</v>
      </c>
      <c r="I1334" t="s">
        <v>281</v>
      </c>
      <c r="J1334" t="s">
        <v>759</v>
      </c>
      <c r="K1334" t="s">
        <v>20</v>
      </c>
      <c r="L1334" t="s">
        <v>3575</v>
      </c>
      <c r="M1334" s="3" t="str">
        <f>HYPERLINK("..\..\Imagery\ScannedPhotos\1980\CG80-004.1.jpg")</f>
        <v>..\..\Imagery\ScannedPhotos\1980\CG80-004.1.jpg</v>
      </c>
    </row>
    <row r="1335" spans="1:13" x14ac:dyDescent="0.25">
      <c r="A1335" t="s">
        <v>3576</v>
      </c>
      <c r="B1335">
        <v>558511</v>
      </c>
      <c r="C1335">
        <v>5817603</v>
      </c>
      <c r="D1335">
        <v>21</v>
      </c>
      <c r="E1335" t="s">
        <v>15</v>
      </c>
      <c r="F1335" t="s">
        <v>3577</v>
      </c>
      <c r="G1335">
        <v>1</v>
      </c>
      <c r="H1335" t="s">
        <v>24</v>
      </c>
      <c r="I1335" t="s">
        <v>114</v>
      </c>
      <c r="J1335" t="s">
        <v>26</v>
      </c>
      <c r="K1335" t="s">
        <v>20</v>
      </c>
      <c r="L1335" t="s">
        <v>3578</v>
      </c>
      <c r="M1335" s="3" t="str">
        <f>HYPERLINK("..\..\Imagery\ScannedPhotos\1986\CG86-034.jpg")</f>
        <v>..\..\Imagery\ScannedPhotos\1986\CG86-034.jpg</v>
      </c>
    </row>
    <row r="1336" spans="1:13" x14ac:dyDescent="0.25">
      <c r="A1336" t="s">
        <v>3579</v>
      </c>
      <c r="B1336">
        <v>445709</v>
      </c>
      <c r="C1336">
        <v>5769407</v>
      </c>
      <c r="D1336">
        <v>21</v>
      </c>
      <c r="E1336" t="s">
        <v>15</v>
      </c>
      <c r="F1336" t="s">
        <v>3580</v>
      </c>
      <c r="G1336">
        <v>1</v>
      </c>
      <c r="H1336" t="s">
        <v>1107</v>
      </c>
      <c r="I1336" t="s">
        <v>30</v>
      </c>
      <c r="J1336" t="s">
        <v>747</v>
      </c>
      <c r="K1336" t="s">
        <v>20</v>
      </c>
      <c r="L1336" t="s">
        <v>3581</v>
      </c>
      <c r="M1336" s="3" t="str">
        <f>HYPERLINK("..\..\Imagery\ScannedPhotos\1992\CG92-147.jpg")</f>
        <v>..\..\Imagery\ScannedPhotos\1992\CG92-147.jpg</v>
      </c>
    </row>
    <row r="1337" spans="1:13" x14ac:dyDescent="0.25">
      <c r="A1337" t="s">
        <v>3582</v>
      </c>
      <c r="B1337">
        <v>445751</v>
      </c>
      <c r="C1337">
        <v>5768227</v>
      </c>
      <c r="D1337">
        <v>21</v>
      </c>
      <c r="E1337" t="s">
        <v>15</v>
      </c>
      <c r="F1337" t="s">
        <v>3583</v>
      </c>
      <c r="G1337">
        <v>2</v>
      </c>
      <c r="H1337" t="s">
        <v>1107</v>
      </c>
      <c r="I1337" t="s">
        <v>114</v>
      </c>
      <c r="J1337" t="s">
        <v>747</v>
      </c>
      <c r="K1337" t="s">
        <v>20</v>
      </c>
      <c r="L1337" t="s">
        <v>3584</v>
      </c>
      <c r="M1337" s="3" t="str">
        <f>HYPERLINK("..\..\Imagery\ScannedPhotos\1992\CG92-151.1.jpg")</f>
        <v>..\..\Imagery\ScannedPhotos\1992\CG92-151.1.jpg</v>
      </c>
    </row>
    <row r="1338" spans="1:13" x14ac:dyDescent="0.25">
      <c r="A1338" t="s">
        <v>3585</v>
      </c>
      <c r="B1338">
        <v>510025</v>
      </c>
      <c r="C1338">
        <v>5959101</v>
      </c>
      <c r="D1338">
        <v>21</v>
      </c>
      <c r="E1338" t="s">
        <v>15</v>
      </c>
      <c r="F1338" t="s">
        <v>3586</v>
      </c>
      <c r="G1338">
        <v>2</v>
      </c>
      <c r="H1338" t="s">
        <v>3587</v>
      </c>
      <c r="I1338" t="s">
        <v>281</v>
      </c>
      <c r="J1338" t="s">
        <v>3588</v>
      </c>
      <c r="K1338" t="s">
        <v>20</v>
      </c>
      <c r="L1338" t="s">
        <v>3589</v>
      </c>
      <c r="M1338" s="3" t="str">
        <f>HYPERLINK("..\..\Imagery\ScannedPhotos\1977\MC77-243.1.jpg")</f>
        <v>..\..\Imagery\ScannedPhotos\1977\MC77-243.1.jpg</v>
      </c>
    </row>
    <row r="1339" spans="1:13" x14ac:dyDescent="0.25">
      <c r="A1339" t="s">
        <v>3590</v>
      </c>
      <c r="B1339">
        <v>402510</v>
      </c>
      <c r="C1339">
        <v>5996430</v>
      </c>
      <c r="D1339">
        <v>21</v>
      </c>
      <c r="E1339" t="s">
        <v>15</v>
      </c>
      <c r="F1339" t="s">
        <v>3591</v>
      </c>
      <c r="G1339">
        <v>3</v>
      </c>
      <c r="H1339" t="s">
        <v>1156</v>
      </c>
      <c r="I1339" t="s">
        <v>94</v>
      </c>
      <c r="J1339" t="s">
        <v>95</v>
      </c>
      <c r="K1339" t="s">
        <v>20</v>
      </c>
      <c r="L1339" t="s">
        <v>3592</v>
      </c>
      <c r="M1339" s="3" t="str">
        <f>HYPERLINK("..\..\Imagery\ScannedPhotos\1980\CG80-125.2.jpg")</f>
        <v>..\..\Imagery\ScannedPhotos\1980\CG80-125.2.jpg</v>
      </c>
    </row>
    <row r="1340" spans="1:13" x14ac:dyDescent="0.25">
      <c r="A1340" t="s">
        <v>3590</v>
      </c>
      <c r="B1340">
        <v>402510</v>
      </c>
      <c r="C1340">
        <v>5996430</v>
      </c>
      <c r="D1340">
        <v>21</v>
      </c>
      <c r="E1340" t="s">
        <v>15</v>
      </c>
      <c r="F1340" t="s">
        <v>3593</v>
      </c>
      <c r="G1340">
        <v>3</v>
      </c>
      <c r="H1340" t="s">
        <v>1156</v>
      </c>
      <c r="I1340" t="s">
        <v>209</v>
      </c>
      <c r="J1340" t="s">
        <v>95</v>
      </c>
      <c r="K1340" t="s">
        <v>20</v>
      </c>
      <c r="L1340" t="s">
        <v>3594</v>
      </c>
      <c r="M1340" s="3" t="str">
        <f>HYPERLINK("..\..\Imagery\ScannedPhotos\1980\CG80-125.3.jpg")</f>
        <v>..\..\Imagery\ScannedPhotos\1980\CG80-125.3.jpg</v>
      </c>
    </row>
    <row r="1341" spans="1:13" x14ac:dyDescent="0.25">
      <c r="A1341" t="s">
        <v>3595</v>
      </c>
      <c r="B1341">
        <v>541372</v>
      </c>
      <c r="C1341">
        <v>5731323</v>
      </c>
      <c r="D1341">
        <v>21</v>
      </c>
      <c r="E1341" t="s">
        <v>15</v>
      </c>
      <c r="F1341" t="s">
        <v>3596</v>
      </c>
      <c r="G1341">
        <v>2</v>
      </c>
      <c r="H1341" t="s">
        <v>3597</v>
      </c>
      <c r="I1341" t="s">
        <v>143</v>
      </c>
      <c r="J1341" t="s">
        <v>3598</v>
      </c>
      <c r="K1341" t="s">
        <v>20</v>
      </c>
      <c r="L1341" t="s">
        <v>3599</v>
      </c>
      <c r="M1341" s="3" t="str">
        <f>HYPERLINK("..\..\Imagery\ScannedPhotos\1993\VN93-039.1.jpg")</f>
        <v>..\..\Imagery\ScannedPhotos\1993\VN93-039.1.jpg</v>
      </c>
    </row>
    <row r="1342" spans="1:13" x14ac:dyDescent="0.25">
      <c r="A1342" t="s">
        <v>2282</v>
      </c>
      <c r="B1342">
        <v>504835</v>
      </c>
      <c r="C1342">
        <v>5970254</v>
      </c>
      <c r="D1342">
        <v>21</v>
      </c>
      <c r="E1342" t="s">
        <v>15</v>
      </c>
      <c r="F1342" t="s">
        <v>3600</v>
      </c>
      <c r="G1342">
        <v>20</v>
      </c>
      <c r="H1342" t="s">
        <v>1333</v>
      </c>
      <c r="I1342" t="s">
        <v>65</v>
      </c>
      <c r="J1342" t="s">
        <v>1334</v>
      </c>
      <c r="K1342" t="s">
        <v>20</v>
      </c>
      <c r="L1342" t="s">
        <v>3601</v>
      </c>
      <c r="M1342" s="3" t="str">
        <f>HYPERLINK("..\..\Imagery\ScannedPhotos\1984\CG84-172.10.jpg")</f>
        <v>..\..\Imagery\ScannedPhotos\1984\CG84-172.10.jpg</v>
      </c>
    </row>
    <row r="1343" spans="1:13" x14ac:dyDescent="0.25">
      <c r="A1343" t="s">
        <v>2282</v>
      </c>
      <c r="B1343">
        <v>504835</v>
      </c>
      <c r="C1343">
        <v>5970254</v>
      </c>
      <c r="D1343">
        <v>21</v>
      </c>
      <c r="E1343" t="s">
        <v>15</v>
      </c>
      <c r="F1343" t="s">
        <v>3602</v>
      </c>
      <c r="G1343">
        <v>20</v>
      </c>
      <c r="H1343" t="s">
        <v>1333</v>
      </c>
      <c r="I1343" t="s">
        <v>108</v>
      </c>
      <c r="J1343" t="s">
        <v>1334</v>
      </c>
      <c r="K1343" t="s">
        <v>20</v>
      </c>
      <c r="L1343" t="s">
        <v>3603</v>
      </c>
      <c r="M1343" s="3" t="str">
        <f>HYPERLINK("..\..\Imagery\ScannedPhotos\1984\CG84-172.3.jpg")</f>
        <v>..\..\Imagery\ScannedPhotos\1984\CG84-172.3.jpg</v>
      </c>
    </row>
    <row r="1344" spans="1:13" x14ac:dyDescent="0.25">
      <c r="A1344" t="s">
        <v>3553</v>
      </c>
      <c r="B1344">
        <v>575777</v>
      </c>
      <c r="C1344">
        <v>5827833</v>
      </c>
      <c r="D1344">
        <v>21</v>
      </c>
      <c r="E1344" t="s">
        <v>15</v>
      </c>
      <c r="F1344" t="s">
        <v>3604</v>
      </c>
      <c r="G1344">
        <v>7</v>
      </c>
      <c r="H1344" t="s">
        <v>288</v>
      </c>
      <c r="I1344" t="s">
        <v>195</v>
      </c>
      <c r="J1344" t="s">
        <v>289</v>
      </c>
      <c r="K1344" t="s">
        <v>20</v>
      </c>
      <c r="L1344" t="s">
        <v>3555</v>
      </c>
      <c r="M1344" s="3" t="str">
        <f>HYPERLINK("..\..\Imagery\ScannedPhotos\1986\CG86-688.2.jpg")</f>
        <v>..\..\Imagery\ScannedPhotos\1986\CG86-688.2.jpg</v>
      </c>
    </row>
    <row r="1345" spans="1:13" x14ac:dyDescent="0.25">
      <c r="A1345" t="s">
        <v>3605</v>
      </c>
      <c r="B1345">
        <v>470585</v>
      </c>
      <c r="C1345">
        <v>5912369</v>
      </c>
      <c r="D1345">
        <v>21</v>
      </c>
      <c r="E1345" t="s">
        <v>15</v>
      </c>
      <c r="F1345" t="s">
        <v>3606</v>
      </c>
      <c r="G1345">
        <v>1</v>
      </c>
      <c r="K1345" t="s">
        <v>20</v>
      </c>
      <c r="L1345" t="s">
        <v>965</v>
      </c>
      <c r="M1345" s="3" t="str">
        <f>HYPERLINK("..\..\Imagery\ScannedPhotos\2004\CG04-208.jpg")</f>
        <v>..\..\Imagery\ScannedPhotos\2004\CG04-208.jpg</v>
      </c>
    </row>
    <row r="1346" spans="1:13" x14ac:dyDescent="0.25">
      <c r="A1346" t="s">
        <v>1343</v>
      </c>
      <c r="B1346">
        <v>470403</v>
      </c>
      <c r="C1346">
        <v>5912175</v>
      </c>
      <c r="D1346">
        <v>21</v>
      </c>
      <c r="E1346" t="s">
        <v>15</v>
      </c>
      <c r="F1346" t="s">
        <v>3607</v>
      </c>
      <c r="G1346">
        <v>6</v>
      </c>
      <c r="K1346" t="s">
        <v>20</v>
      </c>
      <c r="L1346" t="s">
        <v>965</v>
      </c>
      <c r="M1346" s="3" t="str">
        <f>HYPERLINK("..\..\Imagery\ScannedPhotos\2004\CG04-209.1.jpg")</f>
        <v>..\..\Imagery\ScannedPhotos\2004\CG04-209.1.jpg</v>
      </c>
    </row>
    <row r="1347" spans="1:13" x14ac:dyDescent="0.25">
      <c r="A1347" t="s">
        <v>3608</v>
      </c>
      <c r="B1347">
        <v>542983</v>
      </c>
      <c r="C1347">
        <v>5807600</v>
      </c>
      <c r="D1347">
        <v>21</v>
      </c>
      <c r="E1347" t="s">
        <v>15</v>
      </c>
      <c r="F1347" t="s">
        <v>3609</v>
      </c>
      <c r="G1347">
        <v>2</v>
      </c>
      <c r="H1347" t="s">
        <v>1688</v>
      </c>
      <c r="I1347" t="s">
        <v>85</v>
      </c>
      <c r="J1347" t="s">
        <v>1052</v>
      </c>
      <c r="K1347" t="s">
        <v>20</v>
      </c>
      <c r="L1347" t="s">
        <v>3610</v>
      </c>
      <c r="M1347" s="3" t="str">
        <f>HYPERLINK("..\..\Imagery\ScannedPhotos\1987\VN87-356.2.jpg")</f>
        <v>..\..\Imagery\ScannedPhotos\1987\VN87-356.2.jpg</v>
      </c>
    </row>
    <row r="1348" spans="1:13" x14ac:dyDescent="0.25">
      <c r="A1348" t="s">
        <v>3608</v>
      </c>
      <c r="B1348">
        <v>542983</v>
      </c>
      <c r="C1348">
        <v>5807600</v>
      </c>
      <c r="D1348">
        <v>21</v>
      </c>
      <c r="E1348" t="s">
        <v>15</v>
      </c>
      <c r="F1348" t="s">
        <v>3611</v>
      </c>
      <c r="G1348">
        <v>2</v>
      </c>
      <c r="H1348" t="s">
        <v>1688</v>
      </c>
      <c r="I1348" t="s">
        <v>41</v>
      </c>
      <c r="J1348" t="s">
        <v>1052</v>
      </c>
      <c r="K1348" t="s">
        <v>20</v>
      </c>
      <c r="L1348" t="s">
        <v>3612</v>
      </c>
      <c r="M1348" s="3" t="str">
        <f>HYPERLINK("..\..\Imagery\ScannedPhotos\1987\VN87-356.1.jpg")</f>
        <v>..\..\Imagery\ScannedPhotos\1987\VN87-356.1.jpg</v>
      </c>
    </row>
    <row r="1349" spans="1:13" x14ac:dyDescent="0.25">
      <c r="A1349" t="s">
        <v>3613</v>
      </c>
      <c r="B1349">
        <v>542602</v>
      </c>
      <c r="C1349">
        <v>5806863</v>
      </c>
      <c r="D1349">
        <v>21</v>
      </c>
      <c r="E1349" t="s">
        <v>15</v>
      </c>
      <c r="F1349" t="s">
        <v>3614</v>
      </c>
      <c r="G1349">
        <v>1</v>
      </c>
      <c r="H1349" t="s">
        <v>1688</v>
      </c>
      <c r="I1349" t="s">
        <v>375</v>
      </c>
      <c r="J1349" t="s">
        <v>1052</v>
      </c>
      <c r="K1349" t="s">
        <v>20</v>
      </c>
      <c r="L1349" t="s">
        <v>3615</v>
      </c>
      <c r="M1349" s="3" t="str">
        <f>HYPERLINK("..\..\Imagery\ScannedPhotos\1987\VN87-358.jpg")</f>
        <v>..\..\Imagery\ScannedPhotos\1987\VN87-358.jpg</v>
      </c>
    </row>
    <row r="1350" spans="1:13" x14ac:dyDescent="0.25">
      <c r="A1350" t="s">
        <v>3616</v>
      </c>
      <c r="B1350">
        <v>542491</v>
      </c>
      <c r="C1350">
        <v>5806759</v>
      </c>
      <c r="D1350">
        <v>21</v>
      </c>
      <c r="E1350" t="s">
        <v>15</v>
      </c>
      <c r="F1350" t="s">
        <v>3617</v>
      </c>
      <c r="G1350">
        <v>1</v>
      </c>
      <c r="H1350" t="s">
        <v>1688</v>
      </c>
      <c r="I1350" t="s">
        <v>94</v>
      </c>
      <c r="J1350" t="s">
        <v>1052</v>
      </c>
      <c r="K1350" t="s">
        <v>20</v>
      </c>
      <c r="L1350" t="s">
        <v>3618</v>
      </c>
      <c r="M1350" s="3" t="str">
        <f>HYPERLINK("..\..\Imagery\ScannedPhotos\1987\VN87-359.jpg")</f>
        <v>..\..\Imagery\ScannedPhotos\1987\VN87-359.jpg</v>
      </c>
    </row>
    <row r="1351" spans="1:13" x14ac:dyDescent="0.25">
      <c r="A1351" t="s">
        <v>3619</v>
      </c>
      <c r="B1351">
        <v>538766</v>
      </c>
      <c r="C1351">
        <v>5805515</v>
      </c>
      <c r="D1351">
        <v>21</v>
      </c>
      <c r="E1351" t="s">
        <v>15</v>
      </c>
      <c r="F1351" t="s">
        <v>3620</v>
      </c>
      <c r="G1351">
        <v>1</v>
      </c>
      <c r="H1351" t="s">
        <v>1688</v>
      </c>
      <c r="I1351" t="s">
        <v>209</v>
      </c>
      <c r="J1351" t="s">
        <v>1052</v>
      </c>
      <c r="K1351" t="s">
        <v>20</v>
      </c>
      <c r="L1351" t="s">
        <v>3621</v>
      </c>
      <c r="M1351" s="3" t="str">
        <f>HYPERLINK("..\..\Imagery\ScannedPhotos\1987\VN87-369.jpg")</f>
        <v>..\..\Imagery\ScannedPhotos\1987\VN87-369.jpg</v>
      </c>
    </row>
    <row r="1352" spans="1:13" x14ac:dyDescent="0.25">
      <c r="A1352" t="s">
        <v>3622</v>
      </c>
      <c r="B1352">
        <v>550234</v>
      </c>
      <c r="C1352">
        <v>5821489</v>
      </c>
      <c r="D1352">
        <v>21</v>
      </c>
      <c r="E1352" t="s">
        <v>15</v>
      </c>
      <c r="F1352" t="s">
        <v>3623</v>
      </c>
      <c r="G1352">
        <v>1</v>
      </c>
      <c r="H1352" t="s">
        <v>2018</v>
      </c>
      <c r="I1352" t="s">
        <v>30</v>
      </c>
      <c r="J1352" t="s">
        <v>2019</v>
      </c>
      <c r="K1352" t="s">
        <v>20</v>
      </c>
      <c r="L1352" t="s">
        <v>3624</v>
      </c>
      <c r="M1352" s="3" t="str">
        <f>HYPERLINK("..\..\Imagery\ScannedPhotos\1986\SN86-061.jpg")</f>
        <v>..\..\Imagery\ScannedPhotos\1986\SN86-061.jpg</v>
      </c>
    </row>
    <row r="1353" spans="1:13" x14ac:dyDescent="0.25">
      <c r="A1353" t="s">
        <v>3625</v>
      </c>
      <c r="B1353">
        <v>549882</v>
      </c>
      <c r="C1353">
        <v>5821620</v>
      </c>
      <c r="D1353">
        <v>21</v>
      </c>
      <c r="E1353" t="s">
        <v>15</v>
      </c>
      <c r="F1353" t="s">
        <v>3626</v>
      </c>
      <c r="G1353">
        <v>1</v>
      </c>
      <c r="H1353" t="s">
        <v>2018</v>
      </c>
      <c r="I1353" t="s">
        <v>114</v>
      </c>
      <c r="J1353" t="s">
        <v>2019</v>
      </c>
      <c r="K1353" t="s">
        <v>20</v>
      </c>
      <c r="L1353" t="s">
        <v>3627</v>
      </c>
      <c r="M1353" s="3" t="str">
        <f>HYPERLINK("..\..\Imagery\ScannedPhotos\1986\SN86-064.jpg")</f>
        <v>..\..\Imagery\ScannedPhotos\1986\SN86-064.jpg</v>
      </c>
    </row>
    <row r="1354" spans="1:13" x14ac:dyDescent="0.25">
      <c r="A1354" t="s">
        <v>3628</v>
      </c>
      <c r="B1354">
        <v>533816</v>
      </c>
      <c r="C1354">
        <v>5869219</v>
      </c>
      <c r="D1354">
        <v>21</v>
      </c>
      <c r="E1354" t="s">
        <v>15</v>
      </c>
      <c r="F1354" t="s">
        <v>3629</v>
      </c>
      <c r="G1354">
        <v>2</v>
      </c>
      <c r="H1354" t="s">
        <v>656</v>
      </c>
      <c r="I1354" t="s">
        <v>47</v>
      </c>
      <c r="J1354" t="s">
        <v>657</v>
      </c>
      <c r="K1354" t="s">
        <v>56</v>
      </c>
      <c r="L1354" t="s">
        <v>3630</v>
      </c>
      <c r="M1354" s="3" t="str">
        <f>HYPERLINK("..\..\Imagery\ScannedPhotos\1986\SN86-083.2.jpg")</f>
        <v>..\..\Imagery\ScannedPhotos\1986\SN86-083.2.jpg</v>
      </c>
    </row>
    <row r="1355" spans="1:13" x14ac:dyDescent="0.25">
      <c r="A1355" t="s">
        <v>3628</v>
      </c>
      <c r="B1355">
        <v>533816</v>
      </c>
      <c r="C1355">
        <v>5869219</v>
      </c>
      <c r="D1355">
        <v>21</v>
      </c>
      <c r="E1355" t="s">
        <v>15</v>
      </c>
      <c r="F1355" t="s">
        <v>3631</v>
      </c>
      <c r="G1355">
        <v>2</v>
      </c>
      <c r="H1355" t="s">
        <v>656</v>
      </c>
      <c r="I1355" t="s">
        <v>147</v>
      </c>
      <c r="J1355" t="s">
        <v>657</v>
      </c>
      <c r="K1355" t="s">
        <v>20</v>
      </c>
      <c r="L1355" t="s">
        <v>3630</v>
      </c>
      <c r="M1355" s="3" t="str">
        <f>HYPERLINK("..\..\Imagery\ScannedPhotos\1986\SN86-083.1.jpg")</f>
        <v>..\..\Imagery\ScannedPhotos\1986\SN86-083.1.jpg</v>
      </c>
    </row>
    <row r="1356" spans="1:13" x14ac:dyDescent="0.25">
      <c r="A1356" t="s">
        <v>3632</v>
      </c>
      <c r="B1356">
        <v>532668</v>
      </c>
      <c r="C1356">
        <v>5868297</v>
      </c>
      <c r="D1356">
        <v>21</v>
      </c>
      <c r="E1356" t="s">
        <v>15</v>
      </c>
      <c r="F1356" t="s">
        <v>3633</v>
      </c>
      <c r="G1356">
        <v>1</v>
      </c>
      <c r="H1356" t="s">
        <v>656</v>
      </c>
      <c r="I1356" t="s">
        <v>52</v>
      </c>
      <c r="J1356" t="s">
        <v>657</v>
      </c>
      <c r="K1356" t="s">
        <v>20</v>
      </c>
      <c r="L1356" t="s">
        <v>3634</v>
      </c>
      <c r="M1356" s="3" t="str">
        <f>HYPERLINK("..\..\Imagery\ScannedPhotos\1986\SN86-085.jpg")</f>
        <v>..\..\Imagery\ScannedPhotos\1986\SN86-085.jpg</v>
      </c>
    </row>
    <row r="1357" spans="1:13" x14ac:dyDescent="0.25">
      <c r="A1357" t="s">
        <v>3635</v>
      </c>
      <c r="B1357">
        <v>445181</v>
      </c>
      <c r="C1357">
        <v>5991873</v>
      </c>
      <c r="D1357">
        <v>21</v>
      </c>
      <c r="E1357" t="s">
        <v>15</v>
      </c>
      <c r="F1357" t="s">
        <v>3636</v>
      </c>
      <c r="G1357">
        <v>1</v>
      </c>
      <c r="H1357" t="s">
        <v>2967</v>
      </c>
      <c r="I1357" t="s">
        <v>126</v>
      </c>
      <c r="J1357" t="s">
        <v>2968</v>
      </c>
      <c r="K1357" t="s">
        <v>20</v>
      </c>
      <c r="L1357" t="s">
        <v>3637</v>
      </c>
      <c r="M1357" s="3" t="str">
        <f>HYPERLINK("..\..\Imagery\ScannedPhotos\1980\RG80-109.jpg")</f>
        <v>..\..\Imagery\ScannedPhotos\1980\RG80-109.jpg</v>
      </c>
    </row>
    <row r="1358" spans="1:13" x14ac:dyDescent="0.25">
      <c r="A1358" t="s">
        <v>3638</v>
      </c>
      <c r="B1358">
        <v>444884</v>
      </c>
      <c r="C1358">
        <v>5992072</v>
      </c>
      <c r="D1358">
        <v>21</v>
      </c>
      <c r="E1358" t="s">
        <v>15</v>
      </c>
      <c r="F1358" t="s">
        <v>3639</v>
      </c>
      <c r="G1358">
        <v>1</v>
      </c>
      <c r="H1358" t="s">
        <v>2967</v>
      </c>
      <c r="I1358" t="s">
        <v>108</v>
      </c>
      <c r="J1358" t="s">
        <v>2968</v>
      </c>
      <c r="K1358" t="s">
        <v>20</v>
      </c>
      <c r="L1358" t="s">
        <v>116</v>
      </c>
      <c r="M1358" s="3" t="str">
        <f>HYPERLINK("..\..\Imagery\ScannedPhotos\1980\RG80-110.jpg")</f>
        <v>..\..\Imagery\ScannedPhotos\1980\RG80-110.jpg</v>
      </c>
    </row>
    <row r="1359" spans="1:13" x14ac:dyDescent="0.25">
      <c r="A1359" t="s">
        <v>3640</v>
      </c>
      <c r="B1359">
        <v>443970</v>
      </c>
      <c r="C1359">
        <v>5992374</v>
      </c>
      <c r="D1359">
        <v>21</v>
      </c>
      <c r="E1359" t="s">
        <v>15</v>
      </c>
      <c r="F1359" t="s">
        <v>3641</v>
      </c>
      <c r="G1359">
        <v>1</v>
      </c>
      <c r="H1359" t="s">
        <v>2967</v>
      </c>
      <c r="I1359" t="s">
        <v>132</v>
      </c>
      <c r="J1359" t="s">
        <v>2968</v>
      </c>
      <c r="K1359" t="s">
        <v>20</v>
      </c>
      <c r="L1359" t="s">
        <v>3642</v>
      </c>
      <c r="M1359" s="3" t="str">
        <f>HYPERLINK("..\..\Imagery\ScannedPhotos\1980\RG80-113.jpg")</f>
        <v>..\..\Imagery\ScannedPhotos\1980\RG80-113.jpg</v>
      </c>
    </row>
    <row r="1360" spans="1:13" x14ac:dyDescent="0.25">
      <c r="A1360" t="s">
        <v>3643</v>
      </c>
      <c r="B1360">
        <v>443667</v>
      </c>
      <c r="C1360">
        <v>5992174</v>
      </c>
      <c r="D1360">
        <v>21</v>
      </c>
      <c r="E1360" t="s">
        <v>15</v>
      </c>
      <c r="F1360" t="s">
        <v>3644</v>
      </c>
      <c r="G1360">
        <v>1</v>
      </c>
      <c r="H1360" t="s">
        <v>2967</v>
      </c>
      <c r="I1360" t="s">
        <v>129</v>
      </c>
      <c r="J1360" t="s">
        <v>2968</v>
      </c>
      <c r="K1360" t="s">
        <v>20</v>
      </c>
      <c r="L1360" t="s">
        <v>2837</v>
      </c>
      <c r="M1360" s="3" t="str">
        <f>HYPERLINK("..\..\Imagery\ScannedPhotos\1980\RG80-114.jpg")</f>
        <v>..\..\Imagery\ScannedPhotos\1980\RG80-114.jpg</v>
      </c>
    </row>
    <row r="1361" spans="1:13" x14ac:dyDescent="0.25">
      <c r="A1361" t="s">
        <v>3645</v>
      </c>
      <c r="B1361">
        <v>440912</v>
      </c>
      <c r="C1361">
        <v>5992487</v>
      </c>
      <c r="D1361">
        <v>21</v>
      </c>
      <c r="E1361" t="s">
        <v>15</v>
      </c>
      <c r="F1361" t="s">
        <v>3646</v>
      </c>
      <c r="G1361">
        <v>1</v>
      </c>
      <c r="H1361" t="s">
        <v>2967</v>
      </c>
      <c r="I1361" t="s">
        <v>143</v>
      </c>
      <c r="J1361" t="s">
        <v>2968</v>
      </c>
      <c r="K1361" t="s">
        <v>20</v>
      </c>
      <c r="L1361" t="s">
        <v>3647</v>
      </c>
      <c r="M1361" s="3" t="str">
        <f>HYPERLINK("..\..\Imagery\ScannedPhotos\1980\RG80-117.jpg")</f>
        <v>..\..\Imagery\ScannedPhotos\1980\RG80-117.jpg</v>
      </c>
    </row>
    <row r="1362" spans="1:13" x14ac:dyDescent="0.25">
      <c r="A1362" t="s">
        <v>3648</v>
      </c>
      <c r="B1362">
        <v>436490</v>
      </c>
      <c r="C1362">
        <v>5995530</v>
      </c>
      <c r="D1362">
        <v>21</v>
      </c>
      <c r="E1362" t="s">
        <v>15</v>
      </c>
      <c r="F1362" t="s">
        <v>3649</v>
      </c>
      <c r="G1362">
        <v>1</v>
      </c>
      <c r="H1362" t="s">
        <v>2967</v>
      </c>
      <c r="I1362" t="s">
        <v>147</v>
      </c>
      <c r="J1362" t="s">
        <v>2968</v>
      </c>
      <c r="K1362" t="s">
        <v>20</v>
      </c>
      <c r="L1362" t="s">
        <v>3650</v>
      </c>
      <c r="M1362" s="3" t="str">
        <f>HYPERLINK("..\..\Imagery\ScannedPhotos\1980\RG80-123.jpg")</f>
        <v>..\..\Imagery\ScannedPhotos\1980\RG80-123.jpg</v>
      </c>
    </row>
    <row r="1363" spans="1:13" x14ac:dyDescent="0.25">
      <c r="A1363" t="s">
        <v>970</v>
      </c>
      <c r="B1363">
        <v>442431</v>
      </c>
      <c r="C1363">
        <v>5995299</v>
      </c>
      <c r="D1363">
        <v>21</v>
      </c>
      <c r="E1363" t="s">
        <v>15</v>
      </c>
      <c r="F1363" t="s">
        <v>3651</v>
      </c>
      <c r="G1363">
        <v>13</v>
      </c>
      <c r="H1363" t="s">
        <v>972</v>
      </c>
      <c r="I1363" t="s">
        <v>294</v>
      </c>
      <c r="J1363" t="s">
        <v>807</v>
      </c>
      <c r="K1363" t="s">
        <v>20</v>
      </c>
      <c r="L1363" t="s">
        <v>973</v>
      </c>
      <c r="M1363" s="3" t="str">
        <f>HYPERLINK("..\..\Imagery\ScannedPhotos\1980\RG80-133.1.jpg")</f>
        <v>..\..\Imagery\ScannedPhotos\1980\RG80-133.1.jpg</v>
      </c>
    </row>
    <row r="1364" spans="1:13" x14ac:dyDescent="0.25">
      <c r="A1364" t="s">
        <v>970</v>
      </c>
      <c r="B1364">
        <v>442431</v>
      </c>
      <c r="C1364">
        <v>5995299</v>
      </c>
      <c r="D1364">
        <v>21</v>
      </c>
      <c r="E1364" t="s">
        <v>15</v>
      </c>
      <c r="F1364" t="s">
        <v>3652</v>
      </c>
      <c r="G1364">
        <v>13</v>
      </c>
      <c r="H1364" t="s">
        <v>972</v>
      </c>
      <c r="I1364" t="s">
        <v>94</v>
      </c>
      <c r="J1364" t="s">
        <v>807</v>
      </c>
      <c r="K1364" t="s">
        <v>20</v>
      </c>
      <c r="L1364" t="s">
        <v>973</v>
      </c>
      <c r="M1364" s="3" t="str">
        <f>HYPERLINK("..\..\Imagery\ScannedPhotos\1980\RG80-133.12.jpg")</f>
        <v>..\..\Imagery\ScannedPhotos\1980\RG80-133.12.jpg</v>
      </c>
    </row>
    <row r="1365" spans="1:13" x14ac:dyDescent="0.25">
      <c r="A1365" t="s">
        <v>3653</v>
      </c>
      <c r="B1365">
        <v>392563</v>
      </c>
      <c r="C1365">
        <v>6073958</v>
      </c>
      <c r="D1365">
        <v>21</v>
      </c>
      <c r="E1365" t="s">
        <v>15</v>
      </c>
      <c r="F1365" t="s">
        <v>3654</v>
      </c>
      <c r="G1365">
        <v>1</v>
      </c>
      <c r="H1365" t="s">
        <v>1872</v>
      </c>
      <c r="I1365" t="s">
        <v>108</v>
      </c>
      <c r="J1365" t="s">
        <v>1873</v>
      </c>
      <c r="K1365" t="s">
        <v>20</v>
      </c>
      <c r="L1365" t="s">
        <v>3655</v>
      </c>
      <c r="M1365" s="3" t="str">
        <f>HYPERLINK("..\..\Imagery\ScannedPhotos\1979\CG79-024.jpg")</f>
        <v>..\..\Imagery\ScannedPhotos\1979\CG79-024.jpg</v>
      </c>
    </row>
    <row r="1366" spans="1:13" x14ac:dyDescent="0.25">
      <c r="A1366" t="s">
        <v>1997</v>
      </c>
      <c r="B1366">
        <v>390886</v>
      </c>
      <c r="C1366">
        <v>6076989</v>
      </c>
      <c r="D1366">
        <v>21</v>
      </c>
      <c r="E1366" t="s">
        <v>15</v>
      </c>
      <c r="F1366" t="s">
        <v>3656</v>
      </c>
      <c r="G1366">
        <v>2</v>
      </c>
      <c r="H1366" t="s">
        <v>1872</v>
      </c>
      <c r="I1366" t="s">
        <v>132</v>
      </c>
      <c r="J1366" t="s">
        <v>1873</v>
      </c>
      <c r="K1366" t="s">
        <v>20</v>
      </c>
      <c r="L1366" t="s">
        <v>290</v>
      </c>
      <c r="M1366" s="3" t="str">
        <f>HYPERLINK("..\..\Imagery\ScannedPhotos\1979\CG79-029.1.jpg")</f>
        <v>..\..\Imagery\ScannedPhotos\1979\CG79-029.1.jpg</v>
      </c>
    </row>
    <row r="1367" spans="1:13" x14ac:dyDescent="0.25">
      <c r="A1367" t="s">
        <v>3657</v>
      </c>
      <c r="B1367">
        <v>499535</v>
      </c>
      <c r="C1367">
        <v>5816882</v>
      </c>
      <c r="D1367">
        <v>21</v>
      </c>
      <c r="E1367" t="s">
        <v>15</v>
      </c>
      <c r="F1367" t="s">
        <v>3658</v>
      </c>
      <c r="G1367">
        <v>4</v>
      </c>
      <c r="H1367" t="s">
        <v>1044</v>
      </c>
      <c r="I1367" t="s">
        <v>418</v>
      </c>
      <c r="J1367" t="s">
        <v>42</v>
      </c>
      <c r="K1367" t="s">
        <v>20</v>
      </c>
      <c r="L1367" t="s">
        <v>3659</v>
      </c>
      <c r="M1367" s="3" t="str">
        <f>HYPERLINK("..\..\Imagery\ScannedPhotos\1991\VN91-034.3.jpg")</f>
        <v>..\..\Imagery\ScannedPhotos\1991\VN91-034.3.jpg</v>
      </c>
    </row>
    <row r="1368" spans="1:13" x14ac:dyDescent="0.25">
      <c r="A1368" t="s">
        <v>3660</v>
      </c>
      <c r="B1368">
        <v>498932</v>
      </c>
      <c r="C1368">
        <v>5816482</v>
      </c>
      <c r="D1368">
        <v>21</v>
      </c>
      <c r="E1368" t="s">
        <v>15</v>
      </c>
      <c r="F1368" t="s">
        <v>3661</v>
      </c>
      <c r="G1368">
        <v>2</v>
      </c>
      <c r="H1368" t="s">
        <v>1044</v>
      </c>
      <c r="I1368" t="s">
        <v>25</v>
      </c>
      <c r="J1368" t="s">
        <v>42</v>
      </c>
      <c r="K1368" t="s">
        <v>20</v>
      </c>
      <c r="L1368" t="s">
        <v>3662</v>
      </c>
      <c r="M1368" s="3" t="str">
        <f>HYPERLINK("..\..\Imagery\ScannedPhotos\1991\VN91-036.1.jpg")</f>
        <v>..\..\Imagery\ScannedPhotos\1991\VN91-036.1.jpg</v>
      </c>
    </row>
    <row r="1369" spans="1:13" x14ac:dyDescent="0.25">
      <c r="A1369" t="s">
        <v>3663</v>
      </c>
      <c r="B1369">
        <v>498189</v>
      </c>
      <c r="C1369">
        <v>5966621</v>
      </c>
      <c r="D1369">
        <v>21</v>
      </c>
      <c r="E1369" t="s">
        <v>15</v>
      </c>
      <c r="F1369" t="s">
        <v>3664</v>
      </c>
      <c r="G1369">
        <v>3</v>
      </c>
      <c r="H1369" t="s">
        <v>1964</v>
      </c>
      <c r="I1369" t="s">
        <v>143</v>
      </c>
      <c r="J1369" t="s">
        <v>1965</v>
      </c>
      <c r="K1369" t="s">
        <v>56</v>
      </c>
      <c r="L1369" t="s">
        <v>3665</v>
      </c>
      <c r="M1369" s="3" t="str">
        <f>HYPERLINK("..\..\Imagery\ScannedPhotos\1977\MC77-237.2.jpg")</f>
        <v>..\..\Imagery\ScannedPhotos\1977\MC77-237.2.jpg</v>
      </c>
    </row>
    <row r="1370" spans="1:13" x14ac:dyDescent="0.25">
      <c r="A1370" t="s">
        <v>3663</v>
      </c>
      <c r="B1370">
        <v>498189</v>
      </c>
      <c r="C1370">
        <v>5966621</v>
      </c>
      <c r="D1370">
        <v>21</v>
      </c>
      <c r="E1370" t="s">
        <v>15</v>
      </c>
      <c r="F1370" t="s">
        <v>3666</v>
      </c>
      <c r="G1370">
        <v>3</v>
      </c>
      <c r="H1370" t="s">
        <v>1964</v>
      </c>
      <c r="I1370" t="s">
        <v>108</v>
      </c>
      <c r="J1370" t="s">
        <v>1965</v>
      </c>
      <c r="K1370" t="s">
        <v>228</v>
      </c>
      <c r="L1370" t="s">
        <v>3667</v>
      </c>
      <c r="M1370" s="3" t="str">
        <f>HYPERLINK("..\..\Imagery\ScannedPhotos\1977\MC77-237.1.jpg")</f>
        <v>..\..\Imagery\ScannedPhotos\1977\MC77-237.1.jpg</v>
      </c>
    </row>
    <row r="1371" spans="1:13" x14ac:dyDescent="0.25">
      <c r="A1371" t="s">
        <v>1403</v>
      </c>
      <c r="B1371">
        <v>537298</v>
      </c>
      <c r="C1371">
        <v>5961593</v>
      </c>
      <c r="D1371">
        <v>21</v>
      </c>
      <c r="E1371" t="s">
        <v>15</v>
      </c>
      <c r="F1371" t="s">
        <v>3668</v>
      </c>
      <c r="G1371">
        <v>31</v>
      </c>
      <c r="H1371" t="s">
        <v>1405</v>
      </c>
      <c r="I1371" t="s">
        <v>25</v>
      </c>
      <c r="J1371" t="s">
        <v>48</v>
      </c>
      <c r="K1371" t="s">
        <v>20</v>
      </c>
      <c r="L1371" t="s">
        <v>2085</v>
      </c>
      <c r="M1371" s="3" t="str">
        <f>HYPERLINK("..\..\Imagery\ScannedPhotos\1981\CG81-306.1.jpg")</f>
        <v>..\..\Imagery\ScannedPhotos\1981\CG81-306.1.jpg</v>
      </c>
    </row>
    <row r="1372" spans="1:13" x14ac:dyDescent="0.25">
      <c r="A1372" t="s">
        <v>1403</v>
      </c>
      <c r="B1372">
        <v>537298</v>
      </c>
      <c r="C1372">
        <v>5961593</v>
      </c>
      <c r="D1372">
        <v>21</v>
      </c>
      <c r="E1372" t="s">
        <v>15</v>
      </c>
      <c r="F1372" t="s">
        <v>3669</v>
      </c>
      <c r="G1372">
        <v>31</v>
      </c>
      <c r="H1372" t="s">
        <v>1480</v>
      </c>
      <c r="I1372" t="s">
        <v>79</v>
      </c>
      <c r="J1372" t="s">
        <v>48</v>
      </c>
      <c r="K1372" t="s">
        <v>535</v>
      </c>
      <c r="L1372" t="s">
        <v>3670</v>
      </c>
      <c r="M1372" s="3" t="str">
        <f>HYPERLINK("..\..\Imagery\ScannedPhotos\1981\CG81-306.20.jpg")</f>
        <v>..\..\Imagery\ScannedPhotos\1981\CG81-306.20.jpg</v>
      </c>
    </row>
    <row r="1373" spans="1:13" x14ac:dyDescent="0.25">
      <c r="A1373" t="s">
        <v>3671</v>
      </c>
      <c r="B1373">
        <v>379725</v>
      </c>
      <c r="C1373">
        <v>6098591</v>
      </c>
      <c r="D1373">
        <v>21</v>
      </c>
      <c r="E1373" t="s">
        <v>15</v>
      </c>
      <c r="F1373" t="s">
        <v>3672</v>
      </c>
      <c r="G1373">
        <v>3</v>
      </c>
      <c r="H1373" t="s">
        <v>208</v>
      </c>
      <c r="I1373" t="s">
        <v>122</v>
      </c>
      <c r="J1373" t="s">
        <v>210</v>
      </c>
      <c r="K1373" t="s">
        <v>20</v>
      </c>
      <c r="L1373" t="s">
        <v>3673</v>
      </c>
      <c r="M1373" s="3" t="str">
        <f>HYPERLINK("..\..\Imagery\ScannedPhotos\1979\AD79-104.1.jpg")</f>
        <v>..\..\Imagery\ScannedPhotos\1979\AD79-104.1.jpg</v>
      </c>
    </row>
    <row r="1374" spans="1:13" x14ac:dyDescent="0.25">
      <c r="A1374" t="s">
        <v>3671</v>
      </c>
      <c r="B1374">
        <v>379725</v>
      </c>
      <c r="C1374">
        <v>6098591</v>
      </c>
      <c r="D1374">
        <v>21</v>
      </c>
      <c r="E1374" t="s">
        <v>15</v>
      </c>
      <c r="F1374" t="s">
        <v>3674</v>
      </c>
      <c r="G1374">
        <v>3</v>
      </c>
      <c r="H1374" t="s">
        <v>208</v>
      </c>
      <c r="I1374" t="s">
        <v>126</v>
      </c>
      <c r="J1374" t="s">
        <v>210</v>
      </c>
      <c r="K1374" t="s">
        <v>56</v>
      </c>
      <c r="L1374" t="s">
        <v>3675</v>
      </c>
      <c r="M1374" s="3" t="str">
        <f>HYPERLINK("..\..\Imagery\ScannedPhotos\1979\AD79-104.2.jpg")</f>
        <v>..\..\Imagery\ScannedPhotos\1979\AD79-104.2.jpg</v>
      </c>
    </row>
    <row r="1375" spans="1:13" x14ac:dyDescent="0.25">
      <c r="A1375" t="s">
        <v>3671</v>
      </c>
      <c r="B1375">
        <v>379725</v>
      </c>
      <c r="C1375">
        <v>6098591</v>
      </c>
      <c r="D1375">
        <v>21</v>
      </c>
      <c r="E1375" t="s">
        <v>15</v>
      </c>
      <c r="F1375" t="s">
        <v>3676</v>
      </c>
      <c r="G1375">
        <v>3</v>
      </c>
      <c r="H1375" t="s">
        <v>208</v>
      </c>
      <c r="I1375" t="s">
        <v>108</v>
      </c>
      <c r="J1375" t="s">
        <v>210</v>
      </c>
      <c r="K1375" t="s">
        <v>56</v>
      </c>
      <c r="L1375" t="s">
        <v>3677</v>
      </c>
      <c r="M1375" s="3" t="str">
        <f>HYPERLINK("..\..\Imagery\ScannedPhotos\1979\AD79-104.3.jpg")</f>
        <v>..\..\Imagery\ScannedPhotos\1979\AD79-104.3.jpg</v>
      </c>
    </row>
    <row r="1376" spans="1:13" x14ac:dyDescent="0.25">
      <c r="A1376" t="s">
        <v>3678</v>
      </c>
      <c r="B1376">
        <v>380948</v>
      </c>
      <c r="C1376">
        <v>6096727</v>
      </c>
      <c r="D1376">
        <v>21</v>
      </c>
      <c r="E1376" t="s">
        <v>15</v>
      </c>
      <c r="F1376" t="s">
        <v>3679</v>
      </c>
      <c r="G1376">
        <v>1</v>
      </c>
      <c r="H1376" t="s">
        <v>208</v>
      </c>
      <c r="I1376" t="s">
        <v>132</v>
      </c>
      <c r="J1376" t="s">
        <v>210</v>
      </c>
      <c r="K1376" t="s">
        <v>20</v>
      </c>
      <c r="L1376" t="s">
        <v>3680</v>
      </c>
      <c r="M1376" s="3" t="str">
        <f>HYPERLINK("..\..\Imagery\ScannedPhotos\1979\AD79-107.jpg")</f>
        <v>..\..\Imagery\ScannedPhotos\1979\AD79-107.jpg</v>
      </c>
    </row>
    <row r="1377" spans="1:14" x14ac:dyDescent="0.25">
      <c r="A1377" t="s">
        <v>3681</v>
      </c>
      <c r="B1377">
        <v>407981</v>
      </c>
      <c r="C1377">
        <v>6010721</v>
      </c>
      <c r="D1377">
        <v>21</v>
      </c>
      <c r="E1377" t="s">
        <v>15</v>
      </c>
      <c r="F1377" t="s">
        <v>3682</v>
      </c>
      <c r="G1377">
        <v>1</v>
      </c>
      <c r="H1377" t="s">
        <v>2319</v>
      </c>
      <c r="I1377" t="s">
        <v>147</v>
      </c>
      <c r="J1377" t="s">
        <v>759</v>
      </c>
      <c r="K1377" t="s">
        <v>228</v>
      </c>
      <c r="L1377" t="s">
        <v>3683</v>
      </c>
      <c r="M1377" s="3" t="str">
        <f>HYPERLINK("..\..\Imagery\ScannedPhotos\1980\CG80-030.jpg")</f>
        <v>..\..\Imagery\ScannedPhotos\1980\CG80-030.jpg</v>
      </c>
    </row>
    <row r="1378" spans="1:14" x14ac:dyDescent="0.25">
      <c r="A1378" t="s">
        <v>3684</v>
      </c>
      <c r="B1378">
        <v>455503</v>
      </c>
      <c r="C1378">
        <v>5902719</v>
      </c>
      <c r="D1378">
        <v>21</v>
      </c>
      <c r="E1378" t="s">
        <v>15</v>
      </c>
      <c r="F1378" t="s">
        <v>3685</v>
      </c>
      <c r="G1378">
        <v>2</v>
      </c>
      <c r="H1378" t="s">
        <v>3308</v>
      </c>
      <c r="I1378" t="s">
        <v>217</v>
      </c>
      <c r="J1378" t="s">
        <v>3309</v>
      </c>
      <c r="K1378" t="s">
        <v>20</v>
      </c>
      <c r="L1378" t="s">
        <v>1853</v>
      </c>
      <c r="M1378" s="3" t="str">
        <f>HYPERLINK("..\..\Imagery\ScannedPhotos\1984\NN84-456.1.jpg")</f>
        <v>..\..\Imagery\ScannedPhotos\1984\NN84-456.1.jpg</v>
      </c>
    </row>
    <row r="1379" spans="1:14" x14ac:dyDescent="0.25">
      <c r="A1379" t="s">
        <v>3684</v>
      </c>
      <c r="B1379">
        <v>455503</v>
      </c>
      <c r="C1379">
        <v>5902719</v>
      </c>
      <c r="D1379">
        <v>21</v>
      </c>
      <c r="E1379" t="s">
        <v>15</v>
      </c>
      <c r="F1379" t="s">
        <v>3686</v>
      </c>
      <c r="G1379">
        <v>2</v>
      </c>
      <c r="H1379" t="s">
        <v>3308</v>
      </c>
      <c r="I1379" t="s">
        <v>214</v>
      </c>
      <c r="J1379" t="s">
        <v>3309</v>
      </c>
      <c r="K1379" t="s">
        <v>20</v>
      </c>
      <c r="L1379" t="s">
        <v>1853</v>
      </c>
      <c r="M1379" s="3" t="str">
        <f>HYPERLINK("..\..\Imagery\ScannedPhotos\1984\NN84-456.2.jpg")</f>
        <v>..\..\Imagery\ScannedPhotos\1984\NN84-456.2.jpg</v>
      </c>
    </row>
    <row r="1380" spans="1:14" x14ac:dyDescent="0.25">
      <c r="A1380" t="s">
        <v>3687</v>
      </c>
      <c r="B1380">
        <v>453951</v>
      </c>
      <c r="C1380">
        <v>5887850</v>
      </c>
      <c r="D1380">
        <v>21</v>
      </c>
      <c r="E1380" t="s">
        <v>15</v>
      </c>
      <c r="F1380" t="s">
        <v>3688</v>
      </c>
      <c r="G1380">
        <v>2</v>
      </c>
      <c r="H1380" t="s">
        <v>3689</v>
      </c>
      <c r="I1380" t="s">
        <v>114</v>
      </c>
      <c r="J1380" t="s">
        <v>3690</v>
      </c>
      <c r="K1380" t="s">
        <v>56</v>
      </c>
      <c r="L1380" t="s">
        <v>3691</v>
      </c>
      <c r="M1380" s="3" t="str">
        <f>HYPERLINK("..\..\Imagery\ScannedPhotos\1984\NN84-502.2.jpg")</f>
        <v>..\..\Imagery\ScannedPhotos\1984\NN84-502.2.jpg</v>
      </c>
    </row>
    <row r="1381" spans="1:14" x14ac:dyDescent="0.25">
      <c r="A1381" t="s">
        <v>3687</v>
      </c>
      <c r="B1381">
        <v>453951</v>
      </c>
      <c r="C1381">
        <v>5887850</v>
      </c>
      <c r="D1381">
        <v>21</v>
      </c>
      <c r="E1381" t="s">
        <v>15</v>
      </c>
      <c r="F1381" t="s">
        <v>3692</v>
      </c>
      <c r="G1381">
        <v>2</v>
      </c>
      <c r="H1381" t="s">
        <v>3689</v>
      </c>
      <c r="I1381" t="s">
        <v>30</v>
      </c>
      <c r="J1381" t="s">
        <v>3690</v>
      </c>
      <c r="K1381" t="s">
        <v>20</v>
      </c>
      <c r="L1381" t="s">
        <v>3693</v>
      </c>
      <c r="M1381" s="3" t="str">
        <f>HYPERLINK("..\..\Imagery\ScannedPhotos\1984\NN84-502.1.jpg")</f>
        <v>..\..\Imagery\ScannedPhotos\1984\NN84-502.1.jpg</v>
      </c>
    </row>
    <row r="1382" spans="1:14" x14ac:dyDescent="0.25">
      <c r="A1382" t="s">
        <v>3694</v>
      </c>
      <c r="B1382">
        <v>457835</v>
      </c>
      <c r="C1382">
        <v>5890238</v>
      </c>
      <c r="D1382">
        <v>21</v>
      </c>
      <c r="E1382" t="s">
        <v>15</v>
      </c>
      <c r="F1382" t="s">
        <v>3695</v>
      </c>
      <c r="G1382">
        <v>7</v>
      </c>
      <c r="H1382" t="s">
        <v>3689</v>
      </c>
      <c r="I1382" t="s">
        <v>129</v>
      </c>
      <c r="J1382" t="s">
        <v>3690</v>
      </c>
      <c r="K1382" t="s">
        <v>20</v>
      </c>
      <c r="L1382" t="s">
        <v>3696</v>
      </c>
      <c r="M1382" s="3" t="str">
        <f>HYPERLINK("..\..\Imagery\ScannedPhotos\1984\NN84-509.6.jpg")</f>
        <v>..\..\Imagery\ScannedPhotos\1984\NN84-509.6.jpg</v>
      </c>
    </row>
    <row r="1383" spans="1:14" x14ac:dyDescent="0.25">
      <c r="A1383" t="s">
        <v>3697</v>
      </c>
      <c r="B1383">
        <v>572844</v>
      </c>
      <c r="C1383">
        <v>5753658</v>
      </c>
      <c r="D1383">
        <v>21</v>
      </c>
      <c r="E1383" t="s">
        <v>15</v>
      </c>
      <c r="F1383" t="s">
        <v>3698</v>
      </c>
      <c r="G1383">
        <v>2</v>
      </c>
      <c r="H1383" t="s">
        <v>869</v>
      </c>
      <c r="I1383" t="s">
        <v>217</v>
      </c>
      <c r="J1383" t="s">
        <v>870</v>
      </c>
      <c r="K1383" t="s">
        <v>20</v>
      </c>
      <c r="L1383" t="s">
        <v>3699</v>
      </c>
      <c r="M1383" s="3" t="str">
        <f>HYPERLINK("..\..\Imagery\ScannedPhotos\1993\VN93-651.1.jpg")</f>
        <v>..\..\Imagery\ScannedPhotos\1993\VN93-651.1.jpg</v>
      </c>
    </row>
    <row r="1384" spans="1:14" x14ac:dyDescent="0.25">
      <c r="A1384" t="s">
        <v>3697</v>
      </c>
      <c r="B1384">
        <v>572844</v>
      </c>
      <c r="C1384">
        <v>5753658</v>
      </c>
      <c r="D1384">
        <v>21</v>
      </c>
      <c r="E1384" t="s">
        <v>15</v>
      </c>
      <c r="F1384" t="s">
        <v>3700</v>
      </c>
      <c r="G1384">
        <v>2</v>
      </c>
      <c r="H1384" t="s">
        <v>869</v>
      </c>
      <c r="I1384" t="s">
        <v>214</v>
      </c>
      <c r="J1384" t="s">
        <v>870</v>
      </c>
      <c r="K1384" t="s">
        <v>20</v>
      </c>
      <c r="L1384" t="s">
        <v>3701</v>
      </c>
      <c r="M1384" s="3" t="str">
        <f>HYPERLINK("..\..\Imagery\ScannedPhotos\1993\VN93-651.2.jpg")</f>
        <v>..\..\Imagery\ScannedPhotos\1993\VN93-651.2.jpg</v>
      </c>
    </row>
    <row r="1385" spans="1:14" x14ac:dyDescent="0.25">
      <c r="A1385" t="s">
        <v>1011</v>
      </c>
      <c r="B1385">
        <v>577794</v>
      </c>
      <c r="C1385">
        <v>5874918</v>
      </c>
      <c r="D1385">
        <v>21</v>
      </c>
      <c r="E1385" t="s">
        <v>15</v>
      </c>
      <c r="F1385" t="s">
        <v>3702</v>
      </c>
      <c r="G1385">
        <v>1</v>
      </c>
      <c r="H1385" t="s">
        <v>1013</v>
      </c>
      <c r="I1385" t="s">
        <v>41</v>
      </c>
      <c r="J1385" t="s">
        <v>1014</v>
      </c>
      <c r="K1385" t="s">
        <v>109</v>
      </c>
      <c r="L1385" t="s">
        <v>3703</v>
      </c>
      <c r="M1385" s="3" t="str">
        <f>HYPERLINK("..\..\Imagery\ScannedPhotos\1985\CG85-454.3.jpg")</f>
        <v>..\..\Imagery\ScannedPhotos\1985\CG85-454.3.jpg</v>
      </c>
    </row>
    <row r="1386" spans="1:14" x14ac:dyDescent="0.25">
      <c r="A1386" t="s">
        <v>1064</v>
      </c>
      <c r="B1386">
        <v>582445</v>
      </c>
      <c r="C1386">
        <v>5771571</v>
      </c>
      <c r="D1386">
        <v>21</v>
      </c>
      <c r="E1386" t="s">
        <v>15</v>
      </c>
      <c r="F1386" t="s">
        <v>3704</v>
      </c>
      <c r="G1386">
        <v>3</v>
      </c>
      <c r="H1386" t="s">
        <v>1066</v>
      </c>
      <c r="I1386" t="s">
        <v>69</v>
      </c>
      <c r="J1386" t="s">
        <v>36</v>
      </c>
      <c r="K1386" t="s">
        <v>20</v>
      </c>
      <c r="L1386" t="s">
        <v>3705</v>
      </c>
      <c r="M1386" s="3" t="str">
        <f>HYPERLINK("..\..\Imagery\ScannedPhotos\1987\CG87-426.2.jpg")</f>
        <v>..\..\Imagery\ScannedPhotos\1987\CG87-426.2.jpg</v>
      </c>
    </row>
    <row r="1387" spans="1:14" x14ac:dyDescent="0.25">
      <c r="A1387" t="s">
        <v>3706</v>
      </c>
      <c r="B1387">
        <v>520445</v>
      </c>
      <c r="C1387">
        <v>5716581</v>
      </c>
      <c r="D1387">
        <v>21</v>
      </c>
      <c r="E1387" t="s">
        <v>15</v>
      </c>
      <c r="F1387" t="s">
        <v>3707</v>
      </c>
      <c r="G1387">
        <v>2</v>
      </c>
      <c r="H1387" t="s">
        <v>569</v>
      </c>
      <c r="I1387" t="s">
        <v>304</v>
      </c>
      <c r="J1387" t="s">
        <v>570</v>
      </c>
      <c r="K1387" t="s">
        <v>56</v>
      </c>
      <c r="L1387" t="s">
        <v>3708</v>
      </c>
      <c r="M1387" s="3" t="str">
        <f>HYPERLINK("..\..\Imagery\ScannedPhotos\1993\CG93-208.2.jpg")</f>
        <v>..\..\Imagery\ScannedPhotos\1993\CG93-208.2.jpg</v>
      </c>
    </row>
    <row r="1388" spans="1:14" x14ac:dyDescent="0.25">
      <c r="A1388" t="s">
        <v>3709</v>
      </c>
      <c r="B1388">
        <v>516564</v>
      </c>
      <c r="C1388">
        <v>5723794</v>
      </c>
      <c r="D1388">
        <v>21</v>
      </c>
      <c r="E1388" t="s">
        <v>15</v>
      </c>
      <c r="F1388" t="s">
        <v>3710</v>
      </c>
      <c r="G1388">
        <v>1</v>
      </c>
      <c r="H1388" t="s">
        <v>569</v>
      </c>
      <c r="I1388" t="s">
        <v>195</v>
      </c>
      <c r="J1388" t="s">
        <v>570</v>
      </c>
      <c r="K1388" t="s">
        <v>228</v>
      </c>
      <c r="L1388" t="s">
        <v>3711</v>
      </c>
      <c r="M1388" s="3" t="str">
        <f>HYPERLINK("..\..\Imagery\ScannedPhotos\1993\CG93-238.1.jpg")</f>
        <v>..\..\Imagery\ScannedPhotos\1993\CG93-238.1.jpg</v>
      </c>
    </row>
    <row r="1389" spans="1:14" x14ac:dyDescent="0.25">
      <c r="A1389" t="s">
        <v>3712</v>
      </c>
      <c r="B1389">
        <v>413340</v>
      </c>
      <c r="C1389">
        <v>5941307</v>
      </c>
      <c r="D1389">
        <v>21</v>
      </c>
      <c r="E1389" t="s">
        <v>15</v>
      </c>
      <c r="F1389" t="s">
        <v>3713</v>
      </c>
      <c r="G1389">
        <v>1</v>
      </c>
      <c r="H1389" t="s">
        <v>2246</v>
      </c>
      <c r="I1389" t="s">
        <v>647</v>
      </c>
      <c r="J1389" t="s">
        <v>2247</v>
      </c>
      <c r="K1389" t="s">
        <v>20</v>
      </c>
      <c r="L1389" t="s">
        <v>3714</v>
      </c>
      <c r="M1389" s="3" t="str">
        <f>HYPERLINK("..\..\Imagery\ScannedPhotos\1981\CG81-610.jpg")</f>
        <v>..\..\Imagery\ScannedPhotos\1981\CG81-610.jpg</v>
      </c>
    </row>
    <row r="1390" spans="1:14" x14ac:dyDescent="0.25">
      <c r="A1390" t="s">
        <v>3553</v>
      </c>
      <c r="B1390">
        <v>575777</v>
      </c>
      <c r="C1390">
        <v>5827833</v>
      </c>
      <c r="D1390">
        <v>21</v>
      </c>
      <c r="E1390" t="s">
        <v>15</v>
      </c>
      <c r="F1390" t="s">
        <v>3715</v>
      </c>
      <c r="G1390">
        <v>7</v>
      </c>
      <c r="H1390" t="s">
        <v>288</v>
      </c>
      <c r="I1390" t="s">
        <v>25</v>
      </c>
      <c r="J1390" t="s">
        <v>289</v>
      </c>
      <c r="K1390" t="s">
        <v>20</v>
      </c>
      <c r="L1390" t="s">
        <v>3716</v>
      </c>
      <c r="M1390" s="3" t="str">
        <f>HYPERLINK("..\..\Imagery\ScannedPhotos\1986\CG86-688.3.jpg")</f>
        <v>..\..\Imagery\ScannedPhotos\1986\CG86-688.3.jpg</v>
      </c>
    </row>
    <row r="1391" spans="1:14" x14ac:dyDescent="0.25">
      <c r="A1391" t="s">
        <v>3553</v>
      </c>
      <c r="B1391">
        <v>575777</v>
      </c>
      <c r="C1391">
        <v>5827833</v>
      </c>
      <c r="D1391">
        <v>21</v>
      </c>
      <c r="E1391" t="s">
        <v>15</v>
      </c>
      <c r="F1391" t="s">
        <v>3717</v>
      </c>
      <c r="G1391">
        <v>7</v>
      </c>
      <c r="H1391" t="s">
        <v>288</v>
      </c>
      <c r="I1391" t="s">
        <v>360</v>
      </c>
      <c r="J1391" t="s">
        <v>289</v>
      </c>
      <c r="K1391" t="s">
        <v>20</v>
      </c>
      <c r="L1391" t="s">
        <v>3718</v>
      </c>
      <c r="M1391" s="3" t="str">
        <f>HYPERLINK("..\..\Imagery\ScannedPhotos\1986\CG86-688.4.jpg")</f>
        <v>..\..\Imagery\ScannedPhotos\1986\CG86-688.4.jpg</v>
      </c>
    </row>
    <row r="1392" spans="1:14" x14ac:dyDescent="0.25">
      <c r="A1392" t="s">
        <v>3719</v>
      </c>
      <c r="B1392">
        <v>488710</v>
      </c>
      <c r="C1392">
        <v>5771388</v>
      </c>
      <c r="D1392">
        <v>21</v>
      </c>
      <c r="E1392" t="s">
        <v>15</v>
      </c>
      <c r="F1392" t="s">
        <v>3720</v>
      </c>
      <c r="G1392">
        <v>2</v>
      </c>
      <c r="H1392" t="s">
        <v>746</v>
      </c>
      <c r="I1392" t="s">
        <v>126</v>
      </c>
      <c r="J1392" t="s">
        <v>747</v>
      </c>
      <c r="K1392" t="s">
        <v>228</v>
      </c>
      <c r="L1392" t="s">
        <v>3721</v>
      </c>
      <c r="M1392" s="3" t="str">
        <f>HYPERLINK("..\..\Imagery\ScannedPhotos\1992\CG92-269.1E.jpg")</f>
        <v>..\..\Imagery\ScannedPhotos\1992\CG92-269.1E.jpg</v>
      </c>
      <c r="N1392" t="s">
        <v>1808</v>
      </c>
    </row>
    <row r="1393" spans="1:13" x14ac:dyDescent="0.25">
      <c r="A1393" t="s">
        <v>3722</v>
      </c>
      <c r="B1393">
        <v>495907</v>
      </c>
      <c r="C1393">
        <v>5786806</v>
      </c>
      <c r="D1393">
        <v>21</v>
      </c>
      <c r="E1393" t="s">
        <v>15</v>
      </c>
      <c r="F1393" t="s">
        <v>3723</v>
      </c>
      <c r="G1393">
        <v>4</v>
      </c>
      <c r="H1393" t="s">
        <v>746</v>
      </c>
      <c r="I1393" t="s">
        <v>147</v>
      </c>
      <c r="J1393" t="s">
        <v>747</v>
      </c>
      <c r="K1393" t="s">
        <v>20</v>
      </c>
      <c r="L1393" t="s">
        <v>3724</v>
      </c>
      <c r="M1393" s="3" t="str">
        <f>HYPERLINK("..\..\Imagery\ScannedPhotos\1992\CG92-281.2.jpg")</f>
        <v>..\..\Imagery\ScannedPhotos\1992\CG92-281.2.jpg</v>
      </c>
    </row>
    <row r="1394" spans="1:13" x14ac:dyDescent="0.25">
      <c r="A1394" t="s">
        <v>3722</v>
      </c>
      <c r="B1394">
        <v>495907</v>
      </c>
      <c r="C1394">
        <v>5786806</v>
      </c>
      <c r="D1394">
        <v>21</v>
      </c>
      <c r="E1394" t="s">
        <v>15</v>
      </c>
      <c r="F1394" t="s">
        <v>3725</v>
      </c>
      <c r="G1394">
        <v>4</v>
      </c>
      <c r="H1394" t="s">
        <v>746</v>
      </c>
      <c r="I1394" t="s">
        <v>47</v>
      </c>
      <c r="J1394" t="s">
        <v>747</v>
      </c>
      <c r="K1394" t="s">
        <v>20</v>
      </c>
      <c r="L1394" t="s">
        <v>3726</v>
      </c>
      <c r="M1394" s="3" t="str">
        <f>HYPERLINK("..\..\Imagery\ScannedPhotos\1992\CG92-281.3.jpg")</f>
        <v>..\..\Imagery\ScannedPhotos\1992\CG92-281.3.jpg</v>
      </c>
    </row>
    <row r="1395" spans="1:13" x14ac:dyDescent="0.25">
      <c r="A1395" t="s">
        <v>3727</v>
      </c>
      <c r="B1395">
        <v>370810</v>
      </c>
      <c r="C1395">
        <v>5993279</v>
      </c>
      <c r="D1395">
        <v>21</v>
      </c>
      <c r="E1395" t="s">
        <v>15</v>
      </c>
      <c r="F1395" t="s">
        <v>3728</v>
      </c>
      <c r="G1395">
        <v>1</v>
      </c>
      <c r="H1395" t="s">
        <v>781</v>
      </c>
      <c r="I1395" t="s">
        <v>18</v>
      </c>
      <c r="J1395" t="s">
        <v>782</v>
      </c>
      <c r="K1395" t="s">
        <v>20</v>
      </c>
      <c r="L1395" t="s">
        <v>3729</v>
      </c>
      <c r="M1395" s="3" t="str">
        <f>HYPERLINK("..\..\Imagery\ScannedPhotos\1980\NN80-069.jpg")</f>
        <v>..\..\Imagery\ScannedPhotos\1980\NN80-069.jpg</v>
      </c>
    </row>
    <row r="1396" spans="1:13" x14ac:dyDescent="0.25">
      <c r="A1396" t="s">
        <v>3730</v>
      </c>
      <c r="B1396">
        <v>399600</v>
      </c>
      <c r="C1396">
        <v>5907054</v>
      </c>
      <c r="D1396">
        <v>21</v>
      </c>
      <c r="E1396" t="s">
        <v>15</v>
      </c>
      <c r="F1396" t="s">
        <v>3731</v>
      </c>
      <c r="G1396">
        <v>4</v>
      </c>
      <c r="H1396" t="s">
        <v>562</v>
      </c>
      <c r="I1396" t="s">
        <v>47</v>
      </c>
      <c r="J1396" t="s">
        <v>563</v>
      </c>
      <c r="K1396" t="s">
        <v>56</v>
      </c>
      <c r="L1396" t="s">
        <v>3732</v>
      </c>
      <c r="M1396" s="3" t="str">
        <f>HYPERLINK("..\..\Imagery\ScannedPhotos\1995\VN95-173.3.jpg")</f>
        <v>..\..\Imagery\ScannedPhotos\1995\VN95-173.3.jpg</v>
      </c>
    </row>
    <row r="1397" spans="1:13" x14ac:dyDescent="0.25">
      <c r="A1397" t="s">
        <v>3733</v>
      </c>
      <c r="B1397">
        <v>488204</v>
      </c>
      <c r="C1397">
        <v>5790270</v>
      </c>
      <c r="D1397">
        <v>21</v>
      </c>
      <c r="E1397" t="s">
        <v>15</v>
      </c>
      <c r="F1397" t="s">
        <v>3734</v>
      </c>
      <c r="G1397">
        <v>3</v>
      </c>
      <c r="H1397" t="s">
        <v>2340</v>
      </c>
      <c r="I1397" t="s">
        <v>74</v>
      </c>
      <c r="J1397" t="s">
        <v>2341</v>
      </c>
      <c r="K1397" t="s">
        <v>56</v>
      </c>
      <c r="L1397" t="s">
        <v>3735</v>
      </c>
      <c r="M1397" s="3" t="str">
        <f>HYPERLINK("..\..\Imagery\ScannedPhotos\1992\HP92-032.3.jpg")</f>
        <v>..\..\Imagery\ScannedPhotos\1992\HP92-032.3.jpg</v>
      </c>
    </row>
    <row r="1398" spans="1:13" x14ac:dyDescent="0.25">
      <c r="A1398" t="s">
        <v>3733</v>
      </c>
      <c r="B1398">
        <v>488204</v>
      </c>
      <c r="C1398">
        <v>5790270</v>
      </c>
      <c r="D1398">
        <v>21</v>
      </c>
      <c r="E1398" t="s">
        <v>15</v>
      </c>
      <c r="F1398" t="s">
        <v>3736</v>
      </c>
      <c r="G1398">
        <v>3</v>
      </c>
      <c r="H1398" t="s">
        <v>2340</v>
      </c>
      <c r="I1398" t="s">
        <v>69</v>
      </c>
      <c r="J1398" t="s">
        <v>2341</v>
      </c>
      <c r="K1398" t="s">
        <v>20</v>
      </c>
      <c r="L1398" t="s">
        <v>3737</v>
      </c>
      <c r="M1398" s="3" t="str">
        <f>HYPERLINK("..\..\Imagery\ScannedPhotos\1992\HP92-032.2.jpg")</f>
        <v>..\..\Imagery\ScannedPhotos\1992\HP92-032.2.jpg</v>
      </c>
    </row>
    <row r="1399" spans="1:13" x14ac:dyDescent="0.25">
      <c r="A1399" t="s">
        <v>1004</v>
      </c>
      <c r="B1399">
        <v>430801</v>
      </c>
      <c r="C1399">
        <v>6010018</v>
      </c>
      <c r="D1399">
        <v>21</v>
      </c>
      <c r="E1399" t="s">
        <v>15</v>
      </c>
      <c r="F1399" t="s">
        <v>3738</v>
      </c>
      <c r="G1399">
        <v>5</v>
      </c>
      <c r="H1399" t="s">
        <v>1006</v>
      </c>
      <c r="I1399" t="s">
        <v>94</v>
      </c>
      <c r="J1399" t="s">
        <v>652</v>
      </c>
      <c r="K1399" t="s">
        <v>20</v>
      </c>
      <c r="L1399" t="s">
        <v>3370</v>
      </c>
      <c r="M1399" s="3" t="str">
        <f>HYPERLINK("..\..\Imagery\ScannedPhotos\1980\CG80-054.1.jpg")</f>
        <v>..\..\Imagery\ScannedPhotos\1980\CG80-054.1.jpg</v>
      </c>
    </row>
    <row r="1400" spans="1:13" x14ac:dyDescent="0.25">
      <c r="A1400" t="s">
        <v>3739</v>
      </c>
      <c r="B1400">
        <v>400840</v>
      </c>
      <c r="C1400">
        <v>5998233</v>
      </c>
      <c r="D1400">
        <v>21</v>
      </c>
      <c r="E1400" t="s">
        <v>15</v>
      </c>
      <c r="F1400" t="s">
        <v>3740</v>
      </c>
      <c r="G1400">
        <v>3</v>
      </c>
      <c r="H1400" t="s">
        <v>1156</v>
      </c>
      <c r="I1400" t="s">
        <v>74</v>
      </c>
      <c r="J1400" t="s">
        <v>95</v>
      </c>
      <c r="K1400" t="s">
        <v>20</v>
      </c>
      <c r="L1400" t="s">
        <v>3741</v>
      </c>
      <c r="M1400" s="3" t="str">
        <f>HYPERLINK("..\..\Imagery\ScannedPhotos\1980\CG80-122.1.jpg")</f>
        <v>..\..\Imagery\ScannedPhotos\1980\CG80-122.1.jpg</v>
      </c>
    </row>
    <row r="1401" spans="1:13" x14ac:dyDescent="0.25">
      <c r="A1401" t="s">
        <v>3590</v>
      </c>
      <c r="B1401">
        <v>402510</v>
      </c>
      <c r="C1401">
        <v>5996430</v>
      </c>
      <c r="D1401">
        <v>21</v>
      </c>
      <c r="E1401" t="s">
        <v>15</v>
      </c>
      <c r="F1401" t="s">
        <v>3742</v>
      </c>
      <c r="G1401">
        <v>3</v>
      </c>
      <c r="H1401" t="s">
        <v>1156</v>
      </c>
      <c r="I1401" t="s">
        <v>375</v>
      </c>
      <c r="J1401" t="s">
        <v>95</v>
      </c>
      <c r="K1401" t="s">
        <v>20</v>
      </c>
      <c r="L1401" t="s">
        <v>3743</v>
      </c>
      <c r="M1401" s="3" t="str">
        <f>HYPERLINK("..\..\Imagery\ScannedPhotos\1980\CG80-125.1.jpg")</f>
        <v>..\..\Imagery\ScannedPhotos\1980\CG80-125.1.jpg</v>
      </c>
    </row>
    <row r="1402" spans="1:13" x14ac:dyDescent="0.25">
      <c r="A1402" t="s">
        <v>1516</v>
      </c>
      <c r="B1402">
        <v>465282</v>
      </c>
      <c r="C1402">
        <v>6030482</v>
      </c>
      <c r="D1402">
        <v>21</v>
      </c>
      <c r="E1402" t="s">
        <v>15</v>
      </c>
      <c r="F1402" t="s">
        <v>3744</v>
      </c>
      <c r="G1402">
        <v>4</v>
      </c>
      <c r="H1402" t="s">
        <v>1518</v>
      </c>
      <c r="I1402" t="s">
        <v>47</v>
      </c>
      <c r="J1402" t="s">
        <v>48</v>
      </c>
      <c r="K1402" t="s">
        <v>20</v>
      </c>
      <c r="L1402" t="s">
        <v>3745</v>
      </c>
      <c r="M1402" s="3" t="str">
        <f>HYPERLINK("..\..\Imagery\ScannedPhotos\1982\CG82-027.3.jpg")</f>
        <v>..\..\Imagery\ScannedPhotos\1982\CG82-027.3.jpg</v>
      </c>
    </row>
    <row r="1403" spans="1:13" x14ac:dyDescent="0.25">
      <c r="A1403" t="s">
        <v>3746</v>
      </c>
      <c r="B1403">
        <v>566103</v>
      </c>
      <c r="C1403">
        <v>5837012</v>
      </c>
      <c r="D1403">
        <v>21</v>
      </c>
      <c r="E1403" t="s">
        <v>15</v>
      </c>
      <c r="F1403" t="s">
        <v>3747</v>
      </c>
      <c r="G1403">
        <v>13</v>
      </c>
      <c r="K1403" t="s">
        <v>56</v>
      </c>
      <c r="L1403" t="s">
        <v>3748</v>
      </c>
      <c r="M1403" s="3" t="str">
        <f>HYPERLINK("..\..\Imagery\ScannedPhotos\2004\CG04-106.3.jpg")</f>
        <v>..\..\Imagery\ScannedPhotos\2004\CG04-106.3.jpg</v>
      </c>
    </row>
    <row r="1404" spans="1:13" x14ac:dyDescent="0.25">
      <c r="A1404" t="s">
        <v>3746</v>
      </c>
      <c r="B1404">
        <v>566103</v>
      </c>
      <c r="C1404">
        <v>5837012</v>
      </c>
      <c r="D1404">
        <v>21</v>
      </c>
      <c r="E1404" t="s">
        <v>15</v>
      </c>
      <c r="F1404" t="s">
        <v>3749</v>
      </c>
      <c r="G1404">
        <v>13</v>
      </c>
      <c r="K1404" t="s">
        <v>56</v>
      </c>
      <c r="L1404" t="s">
        <v>3750</v>
      </c>
      <c r="M1404" s="3" t="str">
        <f>HYPERLINK("..\..\Imagery\ScannedPhotos\2004\CG04-106.4.jpg")</f>
        <v>..\..\Imagery\ScannedPhotos\2004\CG04-106.4.jpg</v>
      </c>
    </row>
    <row r="1405" spans="1:13" x14ac:dyDescent="0.25">
      <c r="A1405" t="s">
        <v>3746</v>
      </c>
      <c r="B1405">
        <v>566103</v>
      </c>
      <c r="C1405">
        <v>5837012</v>
      </c>
      <c r="D1405">
        <v>21</v>
      </c>
      <c r="E1405" t="s">
        <v>15</v>
      </c>
      <c r="F1405" t="s">
        <v>3751</v>
      </c>
      <c r="G1405">
        <v>13</v>
      </c>
      <c r="K1405" t="s">
        <v>56</v>
      </c>
      <c r="L1405" t="s">
        <v>3748</v>
      </c>
      <c r="M1405" s="3" t="str">
        <f>HYPERLINK("..\..\Imagery\ScannedPhotos\2004\CG04-106.5.jpg")</f>
        <v>..\..\Imagery\ScannedPhotos\2004\CG04-106.5.jpg</v>
      </c>
    </row>
    <row r="1406" spans="1:13" x14ac:dyDescent="0.25">
      <c r="A1406" t="s">
        <v>3746</v>
      </c>
      <c r="B1406">
        <v>566103</v>
      </c>
      <c r="C1406">
        <v>5837012</v>
      </c>
      <c r="D1406">
        <v>21</v>
      </c>
      <c r="E1406" t="s">
        <v>15</v>
      </c>
      <c r="F1406" t="s">
        <v>3752</v>
      </c>
      <c r="G1406">
        <v>13</v>
      </c>
      <c r="K1406" t="s">
        <v>56</v>
      </c>
      <c r="L1406" t="s">
        <v>3748</v>
      </c>
      <c r="M1406" s="3" t="str">
        <f>HYPERLINK("..\..\Imagery\ScannedPhotos\2004\CG04-106.6.jpg")</f>
        <v>..\..\Imagery\ScannedPhotos\2004\CG04-106.6.jpg</v>
      </c>
    </row>
    <row r="1407" spans="1:13" x14ac:dyDescent="0.25">
      <c r="A1407" t="s">
        <v>3746</v>
      </c>
      <c r="B1407">
        <v>566103</v>
      </c>
      <c r="C1407">
        <v>5837012</v>
      </c>
      <c r="D1407">
        <v>21</v>
      </c>
      <c r="E1407" t="s">
        <v>15</v>
      </c>
      <c r="F1407" t="s">
        <v>3753</v>
      </c>
      <c r="G1407">
        <v>13</v>
      </c>
      <c r="K1407" t="s">
        <v>56</v>
      </c>
      <c r="L1407" t="s">
        <v>3748</v>
      </c>
      <c r="M1407" s="3" t="str">
        <f>HYPERLINK("..\..\Imagery\ScannedPhotos\2004\CG04-106.7.jpg")</f>
        <v>..\..\Imagery\ScannedPhotos\2004\CG04-106.7.jpg</v>
      </c>
    </row>
    <row r="1408" spans="1:13" x14ac:dyDescent="0.25">
      <c r="A1408" t="s">
        <v>3746</v>
      </c>
      <c r="B1408">
        <v>566103</v>
      </c>
      <c r="C1408">
        <v>5837012</v>
      </c>
      <c r="D1408">
        <v>21</v>
      </c>
      <c r="E1408" t="s">
        <v>15</v>
      </c>
      <c r="F1408" t="s">
        <v>3754</v>
      </c>
      <c r="G1408">
        <v>13</v>
      </c>
      <c r="K1408" t="s">
        <v>20</v>
      </c>
      <c r="L1408" t="s">
        <v>3755</v>
      </c>
      <c r="M1408" s="3" t="str">
        <f>HYPERLINK("..\..\Imagery\ScannedPhotos\2004\CG04-106.8.jpg")</f>
        <v>..\..\Imagery\ScannedPhotos\2004\CG04-106.8.jpg</v>
      </c>
    </row>
    <row r="1409" spans="1:13" x14ac:dyDescent="0.25">
      <c r="A1409" t="s">
        <v>3746</v>
      </c>
      <c r="B1409">
        <v>566103</v>
      </c>
      <c r="C1409">
        <v>5837012</v>
      </c>
      <c r="D1409">
        <v>21</v>
      </c>
      <c r="E1409" t="s">
        <v>15</v>
      </c>
      <c r="F1409" t="s">
        <v>3756</v>
      </c>
      <c r="G1409">
        <v>13</v>
      </c>
      <c r="K1409" t="s">
        <v>535</v>
      </c>
      <c r="L1409" t="s">
        <v>3757</v>
      </c>
      <c r="M1409" s="3" t="str">
        <f>HYPERLINK("..\..\Imagery\ScannedPhotos\2004\CG04-106.9.jpg")</f>
        <v>..\..\Imagery\ScannedPhotos\2004\CG04-106.9.jpg</v>
      </c>
    </row>
    <row r="1410" spans="1:13" x14ac:dyDescent="0.25">
      <c r="A1410" t="s">
        <v>3746</v>
      </c>
      <c r="B1410">
        <v>566103</v>
      </c>
      <c r="C1410">
        <v>5837012</v>
      </c>
      <c r="D1410">
        <v>21</v>
      </c>
      <c r="E1410" t="s">
        <v>15</v>
      </c>
      <c r="F1410" t="s">
        <v>3758</v>
      </c>
      <c r="G1410">
        <v>13</v>
      </c>
      <c r="K1410" t="s">
        <v>535</v>
      </c>
      <c r="L1410" t="s">
        <v>3759</v>
      </c>
      <c r="M1410" s="3" t="str">
        <f>HYPERLINK("..\..\Imagery\ScannedPhotos\2004\CG04-106.10.jpg")</f>
        <v>..\..\Imagery\ScannedPhotos\2004\CG04-106.10.jpg</v>
      </c>
    </row>
    <row r="1411" spans="1:13" x14ac:dyDescent="0.25">
      <c r="A1411" t="s">
        <v>3760</v>
      </c>
      <c r="B1411">
        <v>374786</v>
      </c>
      <c r="C1411">
        <v>5917965</v>
      </c>
      <c r="D1411">
        <v>21</v>
      </c>
      <c r="E1411" t="s">
        <v>15</v>
      </c>
      <c r="F1411" t="s">
        <v>3761</v>
      </c>
      <c r="G1411">
        <v>2</v>
      </c>
      <c r="H1411" t="s">
        <v>3762</v>
      </c>
      <c r="I1411" t="s">
        <v>281</v>
      </c>
      <c r="J1411" t="s">
        <v>557</v>
      </c>
      <c r="K1411" t="s">
        <v>20</v>
      </c>
      <c r="L1411" t="s">
        <v>3763</v>
      </c>
      <c r="M1411" s="3" t="str">
        <f>HYPERLINK("..\..\Imagery\ScannedPhotos\1995\CG95-228.1.jpg")</f>
        <v>..\..\Imagery\ScannedPhotos\1995\CG95-228.1.jpg</v>
      </c>
    </row>
    <row r="1412" spans="1:13" x14ac:dyDescent="0.25">
      <c r="A1412" t="s">
        <v>3764</v>
      </c>
      <c r="B1412">
        <v>374618</v>
      </c>
      <c r="C1412">
        <v>5924870</v>
      </c>
      <c r="D1412">
        <v>21</v>
      </c>
      <c r="E1412" t="s">
        <v>15</v>
      </c>
      <c r="F1412" t="s">
        <v>3765</v>
      </c>
      <c r="G1412">
        <v>2</v>
      </c>
      <c r="H1412" t="s">
        <v>3762</v>
      </c>
      <c r="I1412" t="s">
        <v>18</v>
      </c>
      <c r="J1412" t="s">
        <v>557</v>
      </c>
      <c r="K1412" t="s">
        <v>20</v>
      </c>
      <c r="L1412" t="s">
        <v>3766</v>
      </c>
      <c r="M1412" s="3" t="str">
        <f>HYPERLINK("..\..\Imagery\ScannedPhotos\1995\CG95-239.1.jpg")</f>
        <v>..\..\Imagery\ScannedPhotos\1995\CG95-239.1.jpg</v>
      </c>
    </row>
    <row r="1413" spans="1:13" x14ac:dyDescent="0.25">
      <c r="A1413" t="s">
        <v>3767</v>
      </c>
      <c r="B1413">
        <v>378782</v>
      </c>
      <c r="C1413">
        <v>5885057</v>
      </c>
      <c r="D1413">
        <v>21</v>
      </c>
      <c r="E1413" t="s">
        <v>15</v>
      </c>
      <c r="F1413" t="s">
        <v>3768</v>
      </c>
      <c r="G1413">
        <v>4</v>
      </c>
      <c r="H1413" t="s">
        <v>3762</v>
      </c>
      <c r="I1413" t="s">
        <v>25</v>
      </c>
      <c r="J1413" t="s">
        <v>557</v>
      </c>
      <c r="K1413" t="s">
        <v>56</v>
      </c>
      <c r="L1413" t="s">
        <v>3769</v>
      </c>
      <c r="M1413" s="3" t="str">
        <f>HYPERLINK("..\..\Imagery\ScannedPhotos\1995\CG95-316.3.jpg")</f>
        <v>..\..\Imagery\ScannedPhotos\1995\CG95-316.3.jpg</v>
      </c>
    </row>
    <row r="1414" spans="1:13" x14ac:dyDescent="0.25">
      <c r="A1414" t="s">
        <v>3767</v>
      </c>
      <c r="B1414">
        <v>378782</v>
      </c>
      <c r="C1414">
        <v>5885057</v>
      </c>
      <c r="D1414">
        <v>21</v>
      </c>
      <c r="E1414" t="s">
        <v>15</v>
      </c>
      <c r="F1414" t="s">
        <v>3770</v>
      </c>
      <c r="G1414">
        <v>4</v>
      </c>
      <c r="H1414" t="s">
        <v>3762</v>
      </c>
      <c r="I1414" t="s">
        <v>360</v>
      </c>
      <c r="J1414" t="s">
        <v>557</v>
      </c>
      <c r="K1414" t="s">
        <v>56</v>
      </c>
      <c r="L1414" t="s">
        <v>3769</v>
      </c>
      <c r="M1414" s="3" t="str">
        <f>HYPERLINK("..\..\Imagery\ScannedPhotos\1995\CG95-316.4.jpg")</f>
        <v>..\..\Imagery\ScannedPhotos\1995\CG95-316.4.jpg</v>
      </c>
    </row>
    <row r="1415" spans="1:13" x14ac:dyDescent="0.25">
      <c r="A1415" t="s">
        <v>756</v>
      </c>
      <c r="B1415">
        <v>411385</v>
      </c>
      <c r="C1415">
        <v>5997364</v>
      </c>
      <c r="D1415">
        <v>21</v>
      </c>
      <c r="E1415" t="s">
        <v>15</v>
      </c>
      <c r="F1415" t="s">
        <v>3771</v>
      </c>
      <c r="G1415">
        <v>4</v>
      </c>
      <c r="H1415" t="s">
        <v>758</v>
      </c>
      <c r="I1415" t="s">
        <v>222</v>
      </c>
      <c r="J1415" t="s">
        <v>759</v>
      </c>
      <c r="K1415" t="s">
        <v>20</v>
      </c>
      <c r="L1415" t="s">
        <v>760</v>
      </c>
      <c r="M1415" s="3" t="str">
        <f>HYPERLINK("..\..\Imagery\ScannedPhotos\1980\RG80-061.3.jpg")</f>
        <v>..\..\Imagery\ScannedPhotos\1980\RG80-061.3.jpg</v>
      </c>
    </row>
    <row r="1416" spans="1:13" x14ac:dyDescent="0.25">
      <c r="A1416" t="s">
        <v>3772</v>
      </c>
      <c r="B1416">
        <v>537251</v>
      </c>
      <c r="C1416">
        <v>5728181</v>
      </c>
      <c r="D1416">
        <v>21</v>
      </c>
      <c r="E1416" t="s">
        <v>15</v>
      </c>
      <c r="F1416" t="s">
        <v>3773</v>
      </c>
      <c r="G1416">
        <v>4</v>
      </c>
      <c r="H1416" t="s">
        <v>2355</v>
      </c>
      <c r="I1416" t="s">
        <v>65</v>
      </c>
      <c r="J1416" t="s">
        <v>886</v>
      </c>
      <c r="K1416" t="s">
        <v>20</v>
      </c>
      <c r="L1416" t="s">
        <v>3774</v>
      </c>
      <c r="M1416" s="3" t="str">
        <f>HYPERLINK("..\..\Imagery\ScannedPhotos\1993\VN93-095.3.jpg")</f>
        <v>..\..\Imagery\ScannedPhotos\1993\VN93-095.3.jpg</v>
      </c>
    </row>
    <row r="1417" spans="1:13" x14ac:dyDescent="0.25">
      <c r="A1417" t="s">
        <v>3775</v>
      </c>
      <c r="B1417">
        <v>578826</v>
      </c>
      <c r="C1417">
        <v>5832773</v>
      </c>
      <c r="D1417">
        <v>21</v>
      </c>
      <c r="E1417" t="s">
        <v>15</v>
      </c>
      <c r="F1417" t="s">
        <v>3776</v>
      </c>
      <c r="G1417">
        <v>3</v>
      </c>
      <c r="H1417" t="s">
        <v>3252</v>
      </c>
      <c r="I1417" t="s">
        <v>119</v>
      </c>
      <c r="J1417" t="s">
        <v>100</v>
      </c>
      <c r="K1417" t="s">
        <v>56</v>
      </c>
      <c r="L1417" t="s">
        <v>3777</v>
      </c>
      <c r="M1417" s="3" t="str">
        <f>HYPERLINK("..\..\Imagery\ScannedPhotos\1986\SN86-396.2.jpg")</f>
        <v>..\..\Imagery\ScannedPhotos\1986\SN86-396.2.jpg</v>
      </c>
    </row>
    <row r="1418" spans="1:13" x14ac:dyDescent="0.25">
      <c r="A1418" t="s">
        <v>105</v>
      </c>
      <c r="B1418">
        <v>472086</v>
      </c>
      <c r="C1418">
        <v>5929461</v>
      </c>
      <c r="D1418">
        <v>21</v>
      </c>
      <c r="E1418" t="s">
        <v>15</v>
      </c>
      <c r="F1418" t="s">
        <v>3778</v>
      </c>
      <c r="G1418">
        <v>3</v>
      </c>
      <c r="H1418" t="s">
        <v>107</v>
      </c>
      <c r="I1418" t="s">
        <v>126</v>
      </c>
      <c r="J1418" t="s">
        <v>48</v>
      </c>
      <c r="K1418" t="s">
        <v>56</v>
      </c>
      <c r="L1418" t="s">
        <v>3779</v>
      </c>
      <c r="M1418" s="3" t="str">
        <f>HYPERLINK("..\..\Imagery\ScannedPhotos\1981\CG81-190.2.jpg")</f>
        <v>..\..\Imagery\ScannedPhotos\1981\CG81-190.2.jpg</v>
      </c>
    </row>
    <row r="1419" spans="1:13" x14ac:dyDescent="0.25">
      <c r="A1419" t="s">
        <v>3780</v>
      </c>
      <c r="B1419">
        <v>472979</v>
      </c>
      <c r="C1419">
        <v>5931434</v>
      </c>
      <c r="D1419">
        <v>21</v>
      </c>
      <c r="E1419" t="s">
        <v>15</v>
      </c>
      <c r="F1419" t="s">
        <v>3781</v>
      </c>
      <c r="G1419">
        <v>1</v>
      </c>
      <c r="H1419" t="s">
        <v>107</v>
      </c>
      <c r="I1419" t="s">
        <v>132</v>
      </c>
      <c r="J1419" t="s">
        <v>48</v>
      </c>
      <c r="K1419" t="s">
        <v>56</v>
      </c>
      <c r="L1419" t="s">
        <v>3782</v>
      </c>
      <c r="M1419" s="3" t="str">
        <f>HYPERLINK("..\..\Imagery\ScannedPhotos\1981\CG81-193.jpg")</f>
        <v>..\..\Imagery\ScannedPhotos\1981\CG81-193.jpg</v>
      </c>
    </row>
    <row r="1420" spans="1:13" x14ac:dyDescent="0.25">
      <c r="A1420" t="s">
        <v>1008</v>
      </c>
      <c r="B1420">
        <v>480901</v>
      </c>
      <c r="C1420">
        <v>5931165</v>
      </c>
      <c r="D1420">
        <v>21</v>
      </c>
      <c r="E1420" t="s">
        <v>15</v>
      </c>
      <c r="F1420" t="s">
        <v>3783</v>
      </c>
      <c r="G1420">
        <v>2</v>
      </c>
      <c r="H1420" t="s">
        <v>107</v>
      </c>
      <c r="I1420" t="s">
        <v>143</v>
      </c>
      <c r="J1420" t="s">
        <v>48</v>
      </c>
      <c r="K1420" t="s">
        <v>20</v>
      </c>
      <c r="L1420" t="s">
        <v>3784</v>
      </c>
      <c r="M1420" s="3" t="str">
        <f>HYPERLINK("..\..\Imagery\ScannedPhotos\1981\CG81-215.2.jpg")</f>
        <v>..\..\Imagery\ScannedPhotos\1981\CG81-215.2.jpg</v>
      </c>
    </row>
    <row r="1421" spans="1:13" x14ac:dyDescent="0.25">
      <c r="A1421" t="s">
        <v>3785</v>
      </c>
      <c r="B1421">
        <v>415040</v>
      </c>
      <c r="C1421">
        <v>5782788</v>
      </c>
      <c r="D1421">
        <v>21</v>
      </c>
      <c r="E1421" t="s">
        <v>15</v>
      </c>
      <c r="F1421" t="s">
        <v>3786</v>
      </c>
      <c r="G1421">
        <v>2</v>
      </c>
      <c r="H1421" t="s">
        <v>738</v>
      </c>
      <c r="I1421" t="s">
        <v>132</v>
      </c>
      <c r="J1421" t="s">
        <v>739</v>
      </c>
      <c r="K1421" t="s">
        <v>20</v>
      </c>
      <c r="L1421" t="s">
        <v>3787</v>
      </c>
      <c r="M1421" s="3" t="str">
        <f>HYPERLINK("..\..\Imagery\ScannedPhotos\1999\CG99-076.2.jpg")</f>
        <v>..\..\Imagery\ScannedPhotos\1999\CG99-076.2.jpg</v>
      </c>
    </row>
    <row r="1422" spans="1:13" x14ac:dyDescent="0.25">
      <c r="A1422" t="s">
        <v>3788</v>
      </c>
      <c r="B1422">
        <v>464890</v>
      </c>
      <c r="C1422">
        <v>6008915</v>
      </c>
      <c r="D1422">
        <v>21</v>
      </c>
      <c r="E1422" t="s">
        <v>15</v>
      </c>
      <c r="F1422" t="s">
        <v>3789</v>
      </c>
      <c r="G1422">
        <v>4</v>
      </c>
      <c r="H1422" t="s">
        <v>1326</v>
      </c>
      <c r="I1422" t="s">
        <v>35</v>
      </c>
      <c r="J1422" t="s">
        <v>95</v>
      </c>
      <c r="K1422" t="s">
        <v>20</v>
      </c>
      <c r="L1422" t="s">
        <v>3790</v>
      </c>
      <c r="M1422" s="3" t="str">
        <f>HYPERLINK("..\..\Imagery\ScannedPhotos\1980\CG80-338.1.jpg")</f>
        <v>..\..\Imagery\ScannedPhotos\1980\CG80-338.1.jpg</v>
      </c>
    </row>
    <row r="1423" spans="1:13" x14ac:dyDescent="0.25">
      <c r="A1423" t="s">
        <v>3788</v>
      </c>
      <c r="B1423">
        <v>464890</v>
      </c>
      <c r="C1423">
        <v>6008915</v>
      </c>
      <c r="D1423">
        <v>21</v>
      </c>
      <c r="E1423" t="s">
        <v>15</v>
      </c>
      <c r="F1423" t="s">
        <v>3791</v>
      </c>
      <c r="G1423">
        <v>4</v>
      </c>
      <c r="H1423" t="s">
        <v>1326</v>
      </c>
      <c r="I1423" t="s">
        <v>69</v>
      </c>
      <c r="J1423" t="s">
        <v>95</v>
      </c>
      <c r="K1423" t="s">
        <v>20</v>
      </c>
      <c r="L1423" t="s">
        <v>3792</v>
      </c>
      <c r="M1423" s="3" t="str">
        <f>HYPERLINK("..\..\Imagery\ScannedPhotos\1980\CG80-338.2.jpg")</f>
        <v>..\..\Imagery\ScannedPhotos\1980\CG80-338.2.jpg</v>
      </c>
    </row>
    <row r="1424" spans="1:13" x14ac:dyDescent="0.25">
      <c r="A1424" t="s">
        <v>3788</v>
      </c>
      <c r="B1424">
        <v>464890</v>
      </c>
      <c r="C1424">
        <v>6008915</v>
      </c>
      <c r="D1424">
        <v>21</v>
      </c>
      <c r="E1424" t="s">
        <v>15</v>
      </c>
      <c r="F1424" t="s">
        <v>3793</v>
      </c>
      <c r="G1424">
        <v>4</v>
      </c>
      <c r="H1424" t="s">
        <v>1326</v>
      </c>
      <c r="I1424" t="s">
        <v>74</v>
      </c>
      <c r="J1424" t="s">
        <v>95</v>
      </c>
      <c r="K1424" t="s">
        <v>56</v>
      </c>
      <c r="L1424" t="s">
        <v>3794</v>
      </c>
      <c r="M1424" s="3" t="str">
        <f>HYPERLINK("..\..\Imagery\ScannedPhotos\1980\CG80-338.3.jpg")</f>
        <v>..\..\Imagery\ScannedPhotos\1980\CG80-338.3.jpg</v>
      </c>
    </row>
    <row r="1425" spans="1:13" x14ac:dyDescent="0.25">
      <c r="A1425" t="s">
        <v>3788</v>
      </c>
      <c r="B1425">
        <v>464890</v>
      </c>
      <c r="C1425">
        <v>6008915</v>
      </c>
      <c r="D1425">
        <v>21</v>
      </c>
      <c r="E1425" t="s">
        <v>15</v>
      </c>
      <c r="F1425" t="s">
        <v>3795</v>
      </c>
      <c r="G1425">
        <v>4</v>
      </c>
      <c r="H1425" t="s">
        <v>1518</v>
      </c>
      <c r="I1425" t="s">
        <v>30</v>
      </c>
      <c r="J1425" t="s">
        <v>48</v>
      </c>
      <c r="K1425" t="s">
        <v>20</v>
      </c>
      <c r="L1425" t="s">
        <v>3796</v>
      </c>
      <c r="M1425" s="3" t="str">
        <f>HYPERLINK("..\..\Imagery\ScannedPhotos\1980\CG80-338.4.jpg")</f>
        <v>..\..\Imagery\ScannedPhotos\1980\CG80-338.4.jpg</v>
      </c>
    </row>
    <row r="1426" spans="1:13" x14ac:dyDescent="0.25">
      <c r="A1426" t="s">
        <v>3797</v>
      </c>
      <c r="B1426">
        <v>384830</v>
      </c>
      <c r="C1426">
        <v>5916263</v>
      </c>
      <c r="D1426">
        <v>21</v>
      </c>
      <c r="E1426" t="s">
        <v>15</v>
      </c>
      <c r="F1426" t="s">
        <v>3798</v>
      </c>
      <c r="G1426">
        <v>2</v>
      </c>
      <c r="H1426" t="s">
        <v>3762</v>
      </c>
      <c r="I1426" t="s">
        <v>214</v>
      </c>
      <c r="J1426" t="s">
        <v>557</v>
      </c>
      <c r="K1426" t="s">
        <v>20</v>
      </c>
      <c r="L1426" t="s">
        <v>3799</v>
      </c>
      <c r="M1426" s="3" t="str">
        <f>HYPERLINK("..\..\Imagery\ScannedPhotos\1995\CG95-261.2.jpg")</f>
        <v>..\..\Imagery\ScannedPhotos\1995\CG95-261.2.jpg</v>
      </c>
    </row>
    <row r="1427" spans="1:13" x14ac:dyDescent="0.25">
      <c r="A1427" t="s">
        <v>3402</v>
      </c>
      <c r="B1427">
        <v>317952</v>
      </c>
      <c r="C1427">
        <v>5790148</v>
      </c>
      <c r="D1427">
        <v>21</v>
      </c>
      <c r="E1427" t="s">
        <v>15</v>
      </c>
      <c r="F1427" t="s">
        <v>3800</v>
      </c>
      <c r="G1427">
        <v>6</v>
      </c>
      <c r="H1427" t="s">
        <v>3404</v>
      </c>
      <c r="I1427" t="s">
        <v>94</v>
      </c>
      <c r="J1427" t="s">
        <v>80</v>
      </c>
      <c r="K1427" t="s">
        <v>535</v>
      </c>
      <c r="L1427" t="s">
        <v>3801</v>
      </c>
      <c r="M1427" s="3" t="str">
        <f>HYPERLINK("..\..\Imagery\ScannedPhotos\2000\CG00-043.5.jpg")</f>
        <v>..\..\Imagery\ScannedPhotos\2000\CG00-043.5.jpg</v>
      </c>
    </row>
    <row r="1428" spans="1:13" x14ac:dyDescent="0.25">
      <c r="A1428" t="s">
        <v>1184</v>
      </c>
      <c r="B1428">
        <v>498017</v>
      </c>
      <c r="C1428">
        <v>5950628</v>
      </c>
      <c r="D1428">
        <v>21</v>
      </c>
      <c r="E1428" t="s">
        <v>15</v>
      </c>
      <c r="F1428" t="s">
        <v>3802</v>
      </c>
      <c r="G1428">
        <v>26</v>
      </c>
      <c r="H1428" t="s">
        <v>1197</v>
      </c>
      <c r="I1428" t="s">
        <v>114</v>
      </c>
      <c r="J1428" t="s">
        <v>48</v>
      </c>
      <c r="K1428" t="s">
        <v>535</v>
      </c>
      <c r="L1428" t="s">
        <v>3803</v>
      </c>
      <c r="M1428" s="3" t="str">
        <f>HYPERLINK("..\..\Imagery\ScannedPhotos\1981\CG81-001.21.jpg")</f>
        <v>..\..\Imagery\ScannedPhotos\1981\CG81-001.21.jpg</v>
      </c>
    </row>
    <row r="1429" spans="1:13" x14ac:dyDescent="0.25">
      <c r="A1429" t="s">
        <v>1184</v>
      </c>
      <c r="B1429">
        <v>498017</v>
      </c>
      <c r="C1429">
        <v>5950628</v>
      </c>
      <c r="D1429">
        <v>21</v>
      </c>
      <c r="E1429" t="s">
        <v>15</v>
      </c>
      <c r="F1429" t="s">
        <v>3804</v>
      </c>
      <c r="G1429">
        <v>26</v>
      </c>
      <c r="H1429" t="s">
        <v>1197</v>
      </c>
      <c r="I1429" t="s">
        <v>360</v>
      </c>
      <c r="J1429" t="s">
        <v>48</v>
      </c>
      <c r="K1429" t="s">
        <v>535</v>
      </c>
      <c r="L1429" t="s">
        <v>3805</v>
      </c>
      <c r="M1429" s="3" t="str">
        <f>HYPERLINK("..\..\Imagery\ScannedPhotos\1981\CG81-001.18.jpg")</f>
        <v>..\..\Imagery\ScannedPhotos\1981\CG81-001.18.jpg</v>
      </c>
    </row>
    <row r="1430" spans="1:13" x14ac:dyDescent="0.25">
      <c r="A1430" t="s">
        <v>1184</v>
      </c>
      <c r="B1430">
        <v>498017</v>
      </c>
      <c r="C1430">
        <v>5950628</v>
      </c>
      <c r="D1430">
        <v>21</v>
      </c>
      <c r="E1430" t="s">
        <v>15</v>
      </c>
      <c r="F1430" t="s">
        <v>3806</v>
      </c>
      <c r="G1430">
        <v>26</v>
      </c>
      <c r="H1430" t="s">
        <v>1197</v>
      </c>
      <c r="I1430" t="s">
        <v>647</v>
      </c>
      <c r="J1430" t="s">
        <v>48</v>
      </c>
      <c r="K1430" t="s">
        <v>535</v>
      </c>
      <c r="L1430" t="s">
        <v>3807</v>
      </c>
      <c r="M1430" s="3" t="str">
        <f>HYPERLINK("..\..\Imagery\ScannedPhotos\1981\CG81-001.19.jpg")</f>
        <v>..\..\Imagery\ScannedPhotos\1981\CG81-001.19.jpg</v>
      </c>
    </row>
    <row r="1431" spans="1:13" x14ac:dyDescent="0.25">
      <c r="A1431" t="s">
        <v>1184</v>
      </c>
      <c r="B1431">
        <v>498017</v>
      </c>
      <c r="C1431">
        <v>5950628</v>
      </c>
      <c r="D1431">
        <v>21</v>
      </c>
      <c r="E1431" t="s">
        <v>15</v>
      </c>
      <c r="F1431" t="s">
        <v>3808</v>
      </c>
      <c r="G1431">
        <v>26</v>
      </c>
      <c r="H1431" t="s">
        <v>1197</v>
      </c>
      <c r="I1431" t="s">
        <v>217</v>
      </c>
      <c r="J1431" t="s">
        <v>48</v>
      </c>
      <c r="K1431" t="s">
        <v>535</v>
      </c>
      <c r="L1431" t="s">
        <v>3809</v>
      </c>
      <c r="M1431" s="3" t="str">
        <f>HYPERLINK("..\..\Imagery\ScannedPhotos\1981\CG81-001.11.jpg")</f>
        <v>..\..\Imagery\ScannedPhotos\1981\CG81-001.11.jpg</v>
      </c>
    </row>
    <row r="1432" spans="1:13" x14ac:dyDescent="0.25">
      <c r="A1432" t="s">
        <v>1184</v>
      </c>
      <c r="B1432">
        <v>498017</v>
      </c>
      <c r="C1432">
        <v>5950628</v>
      </c>
      <c r="D1432">
        <v>21</v>
      </c>
      <c r="E1432" t="s">
        <v>15</v>
      </c>
      <c r="F1432" t="s">
        <v>3810</v>
      </c>
      <c r="G1432">
        <v>26</v>
      </c>
      <c r="H1432" t="s">
        <v>1197</v>
      </c>
      <c r="I1432" t="s">
        <v>25</v>
      </c>
      <c r="J1432" t="s">
        <v>48</v>
      </c>
      <c r="K1432" t="s">
        <v>535</v>
      </c>
      <c r="L1432" t="s">
        <v>3811</v>
      </c>
      <c r="M1432" s="3" t="str">
        <f>HYPERLINK("..\..\Imagery\ScannedPhotos\1981\CG81-001.17.jpg")</f>
        <v>..\..\Imagery\ScannedPhotos\1981\CG81-001.17.jpg</v>
      </c>
    </row>
    <row r="1433" spans="1:13" x14ac:dyDescent="0.25">
      <c r="A1433" t="s">
        <v>3290</v>
      </c>
      <c r="B1433">
        <v>483855</v>
      </c>
      <c r="C1433">
        <v>5927051</v>
      </c>
      <c r="D1433">
        <v>21</v>
      </c>
      <c r="E1433" t="s">
        <v>15</v>
      </c>
      <c r="F1433" t="s">
        <v>3812</v>
      </c>
      <c r="G1433">
        <v>5</v>
      </c>
      <c r="H1433" t="s">
        <v>632</v>
      </c>
      <c r="I1433" t="s">
        <v>85</v>
      </c>
      <c r="J1433" t="s">
        <v>633</v>
      </c>
      <c r="K1433" t="s">
        <v>20</v>
      </c>
      <c r="L1433" t="s">
        <v>3813</v>
      </c>
      <c r="M1433" s="3" t="str">
        <f>HYPERLINK("..\..\Imagery\ScannedPhotos\1977\MC77-081.1.jpg")</f>
        <v>..\..\Imagery\ScannedPhotos\1977\MC77-081.1.jpg</v>
      </c>
    </row>
    <row r="1434" spans="1:13" x14ac:dyDescent="0.25">
      <c r="A1434" t="s">
        <v>3290</v>
      </c>
      <c r="B1434">
        <v>483855</v>
      </c>
      <c r="C1434">
        <v>5927051</v>
      </c>
      <c r="D1434">
        <v>21</v>
      </c>
      <c r="E1434" t="s">
        <v>15</v>
      </c>
      <c r="F1434" t="s">
        <v>3814</v>
      </c>
      <c r="G1434">
        <v>5</v>
      </c>
      <c r="H1434" t="s">
        <v>632</v>
      </c>
      <c r="I1434" t="s">
        <v>209</v>
      </c>
      <c r="J1434" t="s">
        <v>633</v>
      </c>
      <c r="K1434" t="s">
        <v>20</v>
      </c>
      <c r="L1434" t="s">
        <v>3815</v>
      </c>
      <c r="M1434" s="3" t="str">
        <f>HYPERLINK("..\..\Imagery\ScannedPhotos\1977\MC77-081.4.jpg")</f>
        <v>..\..\Imagery\ScannedPhotos\1977\MC77-081.4.jpg</v>
      </c>
    </row>
    <row r="1435" spans="1:13" x14ac:dyDescent="0.25">
      <c r="A1435" t="s">
        <v>3816</v>
      </c>
      <c r="B1435">
        <v>477269</v>
      </c>
      <c r="C1435">
        <v>5921924</v>
      </c>
      <c r="D1435">
        <v>21</v>
      </c>
      <c r="E1435" t="s">
        <v>15</v>
      </c>
      <c r="F1435" t="s">
        <v>3817</v>
      </c>
      <c r="G1435">
        <v>1</v>
      </c>
      <c r="H1435" t="s">
        <v>632</v>
      </c>
      <c r="I1435" t="s">
        <v>214</v>
      </c>
      <c r="J1435" t="s">
        <v>633</v>
      </c>
      <c r="K1435" t="s">
        <v>20</v>
      </c>
      <c r="L1435" t="s">
        <v>3818</v>
      </c>
      <c r="M1435" s="3" t="str">
        <f>HYPERLINK("..\..\Imagery\ScannedPhotos\1977\MC77-088.jpg")</f>
        <v>..\..\Imagery\ScannedPhotos\1977\MC77-088.jpg</v>
      </c>
    </row>
    <row r="1436" spans="1:13" x14ac:dyDescent="0.25">
      <c r="A1436" t="s">
        <v>3819</v>
      </c>
      <c r="B1436">
        <v>479644</v>
      </c>
      <c r="C1436">
        <v>5922737</v>
      </c>
      <c r="D1436">
        <v>21</v>
      </c>
      <c r="E1436" t="s">
        <v>15</v>
      </c>
      <c r="F1436" t="s">
        <v>3820</v>
      </c>
      <c r="G1436">
        <v>1</v>
      </c>
      <c r="H1436" t="s">
        <v>632</v>
      </c>
      <c r="I1436" t="s">
        <v>222</v>
      </c>
      <c r="J1436" t="s">
        <v>633</v>
      </c>
      <c r="K1436" t="s">
        <v>20</v>
      </c>
      <c r="L1436" t="s">
        <v>637</v>
      </c>
      <c r="M1436" s="3" t="str">
        <f>HYPERLINK("..\..\Imagery\ScannedPhotos\1977\MC77-089.jpg")</f>
        <v>..\..\Imagery\ScannedPhotos\1977\MC77-089.jpg</v>
      </c>
    </row>
    <row r="1437" spans="1:13" x14ac:dyDescent="0.25">
      <c r="A1437" t="s">
        <v>3821</v>
      </c>
      <c r="B1437">
        <v>588044</v>
      </c>
      <c r="C1437">
        <v>5770428</v>
      </c>
      <c r="D1437">
        <v>21</v>
      </c>
      <c r="E1437" t="s">
        <v>15</v>
      </c>
      <c r="F1437" t="s">
        <v>3822</v>
      </c>
      <c r="G1437">
        <v>1</v>
      </c>
      <c r="H1437" t="s">
        <v>2916</v>
      </c>
      <c r="I1437" t="s">
        <v>65</v>
      </c>
      <c r="J1437" t="s">
        <v>797</v>
      </c>
      <c r="K1437" t="s">
        <v>20</v>
      </c>
      <c r="L1437" t="s">
        <v>3823</v>
      </c>
      <c r="M1437" s="3" t="str">
        <f>HYPERLINK("..\..\Imagery\ScannedPhotos\1987\VN87-336.jpg")</f>
        <v>..\..\Imagery\ScannedPhotos\1987\VN87-336.jpg</v>
      </c>
    </row>
    <row r="1438" spans="1:13" x14ac:dyDescent="0.25">
      <c r="A1438" t="s">
        <v>3824</v>
      </c>
      <c r="B1438">
        <v>565210</v>
      </c>
      <c r="C1438">
        <v>5845728</v>
      </c>
      <c r="D1438">
        <v>21</v>
      </c>
      <c r="E1438" t="s">
        <v>15</v>
      </c>
      <c r="F1438" t="s">
        <v>3825</v>
      </c>
      <c r="G1438">
        <v>4</v>
      </c>
      <c r="H1438" t="s">
        <v>3162</v>
      </c>
      <c r="I1438" t="s">
        <v>85</v>
      </c>
      <c r="J1438" t="s">
        <v>3163</v>
      </c>
      <c r="K1438" t="s">
        <v>20</v>
      </c>
      <c r="L1438" t="s">
        <v>3826</v>
      </c>
      <c r="M1438" s="3" t="str">
        <f>HYPERLINK("..\..\Imagery\ScannedPhotos\1986\SN86-337.4.jpg")</f>
        <v>..\..\Imagery\ScannedPhotos\1986\SN86-337.4.jpg</v>
      </c>
    </row>
    <row r="1439" spans="1:13" x14ac:dyDescent="0.25">
      <c r="A1439" t="s">
        <v>3827</v>
      </c>
      <c r="B1439">
        <v>536150</v>
      </c>
      <c r="C1439">
        <v>5953556</v>
      </c>
      <c r="D1439">
        <v>21</v>
      </c>
      <c r="E1439" t="s">
        <v>15</v>
      </c>
      <c r="F1439" t="s">
        <v>3828</v>
      </c>
      <c r="G1439">
        <v>1</v>
      </c>
      <c r="H1439" t="s">
        <v>221</v>
      </c>
      <c r="I1439" t="s">
        <v>217</v>
      </c>
      <c r="J1439" t="s">
        <v>48</v>
      </c>
      <c r="K1439" t="s">
        <v>20</v>
      </c>
      <c r="L1439" t="s">
        <v>3829</v>
      </c>
      <c r="M1439" s="3" t="str">
        <f>HYPERLINK("..\..\Imagery\ScannedPhotos\1981\CG81-345.jpg")</f>
        <v>..\..\Imagery\ScannedPhotos\1981\CG81-345.jpg</v>
      </c>
    </row>
    <row r="1440" spans="1:13" x14ac:dyDescent="0.25">
      <c r="A1440" t="s">
        <v>3830</v>
      </c>
      <c r="B1440">
        <v>537146</v>
      </c>
      <c r="C1440">
        <v>5953487</v>
      </c>
      <c r="D1440">
        <v>21</v>
      </c>
      <c r="E1440" t="s">
        <v>15</v>
      </c>
      <c r="F1440" t="s">
        <v>3831</v>
      </c>
      <c r="G1440">
        <v>1</v>
      </c>
      <c r="H1440" t="s">
        <v>221</v>
      </c>
      <c r="I1440" t="s">
        <v>214</v>
      </c>
      <c r="J1440" t="s">
        <v>48</v>
      </c>
      <c r="K1440" t="s">
        <v>20</v>
      </c>
      <c r="L1440" t="s">
        <v>3829</v>
      </c>
      <c r="M1440" s="3" t="str">
        <f>HYPERLINK("..\..\Imagery\ScannedPhotos\1981\CG81-346.jpg")</f>
        <v>..\..\Imagery\ScannedPhotos\1981\CG81-346.jpg</v>
      </c>
    </row>
    <row r="1441" spans="1:13" x14ac:dyDescent="0.25">
      <c r="A1441" t="s">
        <v>2252</v>
      </c>
      <c r="B1441">
        <v>538903</v>
      </c>
      <c r="C1441">
        <v>5951804</v>
      </c>
      <c r="D1441">
        <v>21</v>
      </c>
      <c r="E1441" t="s">
        <v>15</v>
      </c>
      <c r="F1441" t="s">
        <v>3832</v>
      </c>
      <c r="G1441">
        <v>2</v>
      </c>
      <c r="H1441" t="s">
        <v>221</v>
      </c>
      <c r="I1441" t="s">
        <v>418</v>
      </c>
      <c r="J1441" t="s">
        <v>48</v>
      </c>
      <c r="K1441" t="s">
        <v>20</v>
      </c>
      <c r="L1441" t="s">
        <v>3833</v>
      </c>
      <c r="M1441" s="3" t="str">
        <f>HYPERLINK("..\..\Imagery\ScannedPhotos\1981\CG81-352.1.jpg")</f>
        <v>..\..\Imagery\ScannedPhotos\1981\CG81-352.1.jpg</v>
      </c>
    </row>
    <row r="1442" spans="1:13" x14ac:dyDescent="0.25">
      <c r="A1442" t="s">
        <v>1184</v>
      </c>
      <c r="B1442">
        <v>498017</v>
      </c>
      <c r="C1442">
        <v>5950628</v>
      </c>
      <c r="D1442">
        <v>21</v>
      </c>
      <c r="E1442" t="s">
        <v>15</v>
      </c>
      <c r="F1442" t="s">
        <v>3834</v>
      </c>
      <c r="G1442">
        <v>26</v>
      </c>
      <c r="H1442" t="s">
        <v>1197</v>
      </c>
      <c r="I1442" t="s">
        <v>304</v>
      </c>
      <c r="J1442" t="s">
        <v>48</v>
      </c>
      <c r="K1442" t="s">
        <v>535</v>
      </c>
      <c r="L1442" t="s">
        <v>3835</v>
      </c>
      <c r="M1442" s="3" t="str">
        <f>HYPERLINK("..\..\Imagery\ScannedPhotos\1981\CG81-001.15.jpg")</f>
        <v>..\..\Imagery\ScannedPhotos\1981\CG81-001.15.jpg</v>
      </c>
    </row>
    <row r="1443" spans="1:13" x14ac:dyDescent="0.25">
      <c r="A1443" t="s">
        <v>3836</v>
      </c>
      <c r="B1443">
        <v>514250</v>
      </c>
      <c r="C1443">
        <v>5960243</v>
      </c>
      <c r="D1443">
        <v>21</v>
      </c>
      <c r="E1443" t="s">
        <v>15</v>
      </c>
      <c r="F1443" t="s">
        <v>3837</v>
      </c>
      <c r="G1443">
        <v>1</v>
      </c>
      <c r="H1443" t="s">
        <v>1480</v>
      </c>
      <c r="I1443" t="s">
        <v>114</v>
      </c>
      <c r="J1443" t="s">
        <v>48</v>
      </c>
      <c r="K1443" t="s">
        <v>20</v>
      </c>
      <c r="L1443" t="s">
        <v>3838</v>
      </c>
      <c r="M1443" s="3" t="str">
        <f>HYPERLINK("..\..\Imagery\ScannedPhotos\1981\CG81-676.jpg")</f>
        <v>..\..\Imagery\ScannedPhotos\1981\CG81-676.jpg</v>
      </c>
    </row>
    <row r="1444" spans="1:13" x14ac:dyDescent="0.25">
      <c r="A1444" t="s">
        <v>3839</v>
      </c>
      <c r="B1444">
        <v>509587</v>
      </c>
      <c r="C1444">
        <v>5964396</v>
      </c>
      <c r="D1444">
        <v>21</v>
      </c>
      <c r="E1444" t="s">
        <v>15</v>
      </c>
      <c r="F1444" t="s">
        <v>3840</v>
      </c>
      <c r="G1444">
        <v>1</v>
      </c>
      <c r="H1444" t="s">
        <v>1480</v>
      </c>
      <c r="I1444" t="s">
        <v>126</v>
      </c>
      <c r="J1444" t="s">
        <v>48</v>
      </c>
      <c r="K1444" t="s">
        <v>20</v>
      </c>
      <c r="L1444" t="s">
        <v>3841</v>
      </c>
      <c r="M1444" s="3" t="str">
        <f>HYPERLINK("..\..\Imagery\ScannedPhotos\1981\CG81-679.jpg")</f>
        <v>..\..\Imagery\ScannedPhotos\1981\CG81-679.jpg</v>
      </c>
    </row>
    <row r="1445" spans="1:13" x14ac:dyDescent="0.25">
      <c r="A1445" t="s">
        <v>3842</v>
      </c>
      <c r="B1445">
        <v>503238</v>
      </c>
      <c r="C1445">
        <v>5955296</v>
      </c>
      <c r="D1445">
        <v>21</v>
      </c>
      <c r="E1445" t="s">
        <v>15</v>
      </c>
      <c r="F1445" t="s">
        <v>3843</v>
      </c>
      <c r="G1445">
        <v>2</v>
      </c>
      <c r="H1445" t="s">
        <v>1480</v>
      </c>
      <c r="I1445" t="s">
        <v>132</v>
      </c>
      <c r="J1445" t="s">
        <v>48</v>
      </c>
      <c r="K1445" t="s">
        <v>56</v>
      </c>
      <c r="L1445" t="s">
        <v>3844</v>
      </c>
      <c r="M1445" s="3" t="str">
        <f>HYPERLINK("..\..\Imagery\ScannedPhotos\1981\CG81-711.1.jpg")</f>
        <v>..\..\Imagery\ScannedPhotos\1981\CG81-711.1.jpg</v>
      </c>
    </row>
    <row r="1446" spans="1:13" x14ac:dyDescent="0.25">
      <c r="A1446" t="s">
        <v>3842</v>
      </c>
      <c r="B1446">
        <v>503238</v>
      </c>
      <c r="C1446">
        <v>5955296</v>
      </c>
      <c r="D1446">
        <v>21</v>
      </c>
      <c r="E1446" t="s">
        <v>15</v>
      </c>
      <c r="F1446" t="s">
        <v>3845</v>
      </c>
      <c r="G1446">
        <v>2</v>
      </c>
      <c r="H1446" t="s">
        <v>1480</v>
      </c>
      <c r="I1446" t="s">
        <v>143</v>
      </c>
      <c r="J1446" t="s">
        <v>48</v>
      </c>
      <c r="K1446" t="s">
        <v>20</v>
      </c>
      <c r="L1446" t="s">
        <v>3846</v>
      </c>
      <c r="M1446" s="3" t="str">
        <f>HYPERLINK("..\..\Imagery\ScannedPhotos\1981\CG81-711.2.jpg")</f>
        <v>..\..\Imagery\ScannedPhotos\1981\CG81-711.2.jpg</v>
      </c>
    </row>
    <row r="1447" spans="1:13" x14ac:dyDescent="0.25">
      <c r="A1447" t="s">
        <v>1877</v>
      </c>
      <c r="B1447">
        <v>422236</v>
      </c>
      <c r="C1447">
        <v>6081732</v>
      </c>
      <c r="D1447">
        <v>21</v>
      </c>
      <c r="E1447" t="s">
        <v>15</v>
      </c>
      <c r="F1447" t="s">
        <v>3847</v>
      </c>
      <c r="G1447">
        <v>4</v>
      </c>
      <c r="H1447" t="s">
        <v>1207</v>
      </c>
      <c r="I1447" t="s">
        <v>47</v>
      </c>
      <c r="J1447" t="s">
        <v>1208</v>
      </c>
      <c r="K1447" t="s">
        <v>20</v>
      </c>
      <c r="L1447" t="s">
        <v>941</v>
      </c>
      <c r="M1447" s="3" t="str">
        <f>HYPERLINK("..\..\Imagery\ScannedPhotos\1979\CG79-119.1.jpg")</f>
        <v>..\..\Imagery\ScannedPhotos\1979\CG79-119.1.jpg</v>
      </c>
    </row>
    <row r="1448" spans="1:13" x14ac:dyDescent="0.25">
      <c r="A1448" t="s">
        <v>3848</v>
      </c>
      <c r="B1448">
        <v>422573</v>
      </c>
      <c r="C1448">
        <v>6081070</v>
      </c>
      <c r="D1448">
        <v>21</v>
      </c>
      <c r="E1448" t="s">
        <v>15</v>
      </c>
      <c r="F1448" t="s">
        <v>3849</v>
      </c>
      <c r="G1448">
        <v>1</v>
      </c>
      <c r="H1448" t="s">
        <v>1207</v>
      </c>
      <c r="I1448" t="s">
        <v>409</v>
      </c>
      <c r="J1448" t="s">
        <v>1208</v>
      </c>
      <c r="K1448" t="s">
        <v>20</v>
      </c>
      <c r="L1448" t="s">
        <v>3850</v>
      </c>
      <c r="M1448" s="3" t="str">
        <f>HYPERLINK("..\..\Imagery\ScannedPhotos\1979\CG79-120.jpg")</f>
        <v>..\..\Imagery\ScannedPhotos\1979\CG79-120.jpg</v>
      </c>
    </row>
    <row r="1449" spans="1:13" x14ac:dyDescent="0.25">
      <c r="A1449" t="s">
        <v>3851</v>
      </c>
      <c r="B1449">
        <v>431441</v>
      </c>
      <c r="C1449">
        <v>6081913</v>
      </c>
      <c r="D1449">
        <v>21</v>
      </c>
      <c r="E1449" t="s">
        <v>15</v>
      </c>
      <c r="F1449" t="s">
        <v>3852</v>
      </c>
      <c r="G1449">
        <v>1</v>
      </c>
      <c r="H1449" t="s">
        <v>1833</v>
      </c>
      <c r="I1449" t="s">
        <v>79</v>
      </c>
      <c r="J1449" t="s">
        <v>610</v>
      </c>
      <c r="K1449" t="s">
        <v>20</v>
      </c>
      <c r="L1449" t="s">
        <v>3853</v>
      </c>
      <c r="M1449" s="3" t="str">
        <f>HYPERLINK("..\..\Imagery\ScannedPhotos\1979\CG79-137.jpg")</f>
        <v>..\..\Imagery\ScannedPhotos\1979\CG79-137.jpg</v>
      </c>
    </row>
    <row r="1450" spans="1:13" x14ac:dyDescent="0.25">
      <c r="A1450" t="s">
        <v>1489</v>
      </c>
      <c r="B1450">
        <v>387378</v>
      </c>
      <c r="C1450">
        <v>5926980</v>
      </c>
      <c r="D1450">
        <v>21</v>
      </c>
      <c r="E1450" t="s">
        <v>15</v>
      </c>
      <c r="F1450" t="s">
        <v>3854</v>
      </c>
      <c r="G1450">
        <v>3</v>
      </c>
      <c r="H1450" t="s">
        <v>562</v>
      </c>
      <c r="I1450" t="s">
        <v>304</v>
      </c>
      <c r="J1450" t="s">
        <v>563</v>
      </c>
      <c r="K1450" t="s">
        <v>20</v>
      </c>
      <c r="L1450" t="s">
        <v>1491</v>
      </c>
      <c r="M1450" s="3" t="str">
        <f>HYPERLINK("..\..\Imagery\ScannedPhotos\1995\VN95-111.1.jpg")</f>
        <v>..\..\Imagery\ScannedPhotos\1995\VN95-111.1.jpg</v>
      </c>
    </row>
    <row r="1451" spans="1:13" x14ac:dyDescent="0.25">
      <c r="A1451" t="s">
        <v>3855</v>
      </c>
      <c r="B1451">
        <v>524902</v>
      </c>
      <c r="C1451">
        <v>5951733</v>
      </c>
      <c r="D1451">
        <v>21</v>
      </c>
      <c r="E1451" t="s">
        <v>15</v>
      </c>
      <c r="F1451" t="s">
        <v>3856</v>
      </c>
      <c r="G1451">
        <v>3</v>
      </c>
      <c r="H1451" t="s">
        <v>718</v>
      </c>
      <c r="I1451" t="s">
        <v>85</v>
      </c>
      <c r="J1451" t="s">
        <v>48</v>
      </c>
      <c r="K1451" t="s">
        <v>20</v>
      </c>
      <c r="L1451" t="s">
        <v>3857</v>
      </c>
      <c r="M1451" s="3" t="str">
        <f>HYPERLINK("..\..\Imagery\ScannedPhotos\1981\VO81-096.3.jpg")</f>
        <v>..\..\Imagery\ScannedPhotos\1981\VO81-096.3.jpg</v>
      </c>
    </row>
    <row r="1452" spans="1:13" x14ac:dyDescent="0.25">
      <c r="A1452" t="s">
        <v>3855</v>
      </c>
      <c r="B1452">
        <v>524902</v>
      </c>
      <c r="C1452">
        <v>5951733</v>
      </c>
      <c r="D1452">
        <v>21</v>
      </c>
      <c r="E1452" t="s">
        <v>15</v>
      </c>
      <c r="F1452" t="s">
        <v>3858</v>
      </c>
      <c r="G1452">
        <v>3</v>
      </c>
      <c r="H1452" t="s">
        <v>718</v>
      </c>
      <c r="I1452" t="s">
        <v>41</v>
      </c>
      <c r="J1452" t="s">
        <v>48</v>
      </c>
      <c r="K1452" t="s">
        <v>56</v>
      </c>
      <c r="L1452" t="s">
        <v>3859</v>
      </c>
      <c r="M1452" s="3" t="str">
        <f>HYPERLINK("..\..\Imagery\ScannedPhotos\1981\VO81-096.2.jpg")</f>
        <v>..\..\Imagery\ScannedPhotos\1981\VO81-096.2.jpg</v>
      </c>
    </row>
    <row r="1453" spans="1:13" x14ac:dyDescent="0.25">
      <c r="A1453" t="s">
        <v>3855</v>
      </c>
      <c r="B1453">
        <v>524902</v>
      </c>
      <c r="C1453">
        <v>5951733</v>
      </c>
      <c r="D1453">
        <v>21</v>
      </c>
      <c r="E1453" t="s">
        <v>15</v>
      </c>
      <c r="F1453" t="s">
        <v>3860</v>
      </c>
      <c r="G1453">
        <v>3</v>
      </c>
      <c r="H1453" t="s">
        <v>718</v>
      </c>
      <c r="I1453" t="s">
        <v>74</v>
      </c>
      <c r="J1453" t="s">
        <v>48</v>
      </c>
      <c r="K1453" t="s">
        <v>20</v>
      </c>
      <c r="L1453" t="s">
        <v>3861</v>
      </c>
      <c r="M1453" s="3" t="str">
        <f>HYPERLINK("..\..\Imagery\ScannedPhotos\1981\VO81-096.1.jpg")</f>
        <v>..\..\Imagery\ScannedPhotos\1981\VO81-096.1.jpg</v>
      </c>
    </row>
    <row r="1454" spans="1:13" x14ac:dyDescent="0.25">
      <c r="A1454" t="s">
        <v>1748</v>
      </c>
      <c r="B1454">
        <v>558172</v>
      </c>
      <c r="C1454">
        <v>5813098</v>
      </c>
      <c r="D1454">
        <v>21</v>
      </c>
      <c r="E1454" t="s">
        <v>15</v>
      </c>
      <c r="F1454" t="s">
        <v>3862</v>
      </c>
      <c r="G1454">
        <v>10</v>
      </c>
      <c r="H1454" t="s">
        <v>1750</v>
      </c>
      <c r="I1454" t="s">
        <v>304</v>
      </c>
      <c r="J1454" t="s">
        <v>1751</v>
      </c>
      <c r="K1454" t="s">
        <v>20</v>
      </c>
      <c r="L1454" t="s">
        <v>3863</v>
      </c>
      <c r="M1454" s="3" t="str">
        <f>HYPERLINK("..\..\Imagery\ScannedPhotos\1987\CG87-055.10.jpg")</f>
        <v>..\..\Imagery\ScannedPhotos\1987\CG87-055.10.jpg</v>
      </c>
    </row>
    <row r="1455" spans="1:13" x14ac:dyDescent="0.25">
      <c r="A1455" t="s">
        <v>2104</v>
      </c>
      <c r="B1455">
        <v>528801</v>
      </c>
      <c r="C1455">
        <v>5773005</v>
      </c>
      <c r="D1455">
        <v>21</v>
      </c>
      <c r="E1455" t="s">
        <v>15</v>
      </c>
      <c r="F1455" t="s">
        <v>3864</v>
      </c>
      <c r="G1455">
        <v>2</v>
      </c>
      <c r="H1455" t="s">
        <v>2106</v>
      </c>
      <c r="I1455" t="s">
        <v>217</v>
      </c>
      <c r="J1455" t="s">
        <v>2107</v>
      </c>
      <c r="K1455" t="s">
        <v>56</v>
      </c>
      <c r="L1455" t="s">
        <v>2108</v>
      </c>
      <c r="M1455" s="3" t="str">
        <f>HYPERLINK("..\..\Imagery\ScannedPhotos\1987\CG87-127.2.jpg")</f>
        <v>..\..\Imagery\ScannedPhotos\1987\CG87-127.2.jpg</v>
      </c>
    </row>
    <row r="1456" spans="1:13" x14ac:dyDescent="0.25">
      <c r="A1456" t="s">
        <v>3865</v>
      </c>
      <c r="B1456">
        <v>405430</v>
      </c>
      <c r="C1456">
        <v>5997289</v>
      </c>
      <c r="D1456">
        <v>21</v>
      </c>
      <c r="E1456" t="s">
        <v>15</v>
      </c>
      <c r="F1456" t="s">
        <v>3866</v>
      </c>
      <c r="G1456">
        <v>2</v>
      </c>
      <c r="H1456" t="s">
        <v>1156</v>
      </c>
      <c r="I1456" t="s">
        <v>418</v>
      </c>
      <c r="J1456" t="s">
        <v>95</v>
      </c>
      <c r="K1456" t="s">
        <v>20</v>
      </c>
      <c r="L1456" t="s">
        <v>3867</v>
      </c>
      <c r="M1456" s="3" t="str">
        <f>HYPERLINK("..\..\Imagery\ScannedPhotos\1980\CG80-133.1.jpg")</f>
        <v>..\..\Imagery\ScannedPhotos\1980\CG80-133.1.jpg</v>
      </c>
    </row>
    <row r="1457" spans="1:13" x14ac:dyDescent="0.25">
      <c r="A1457" t="s">
        <v>1422</v>
      </c>
      <c r="B1457">
        <v>393245</v>
      </c>
      <c r="C1457">
        <v>5988458</v>
      </c>
      <c r="D1457">
        <v>21</v>
      </c>
      <c r="E1457" t="s">
        <v>15</v>
      </c>
      <c r="F1457" t="s">
        <v>3868</v>
      </c>
      <c r="G1457">
        <v>6</v>
      </c>
      <c r="H1457" t="s">
        <v>1424</v>
      </c>
      <c r="I1457" t="s">
        <v>69</v>
      </c>
      <c r="J1457" t="s">
        <v>623</v>
      </c>
      <c r="K1457" t="s">
        <v>56</v>
      </c>
      <c r="L1457" t="s">
        <v>3869</v>
      </c>
      <c r="M1457" s="3" t="str">
        <f>HYPERLINK("..\..\Imagery\ScannedPhotos\1980\NN80-123.5.jpg")</f>
        <v>..\..\Imagery\ScannedPhotos\1980\NN80-123.5.jpg</v>
      </c>
    </row>
    <row r="1458" spans="1:13" x14ac:dyDescent="0.25">
      <c r="A1458" t="s">
        <v>3870</v>
      </c>
      <c r="B1458">
        <v>556945</v>
      </c>
      <c r="C1458">
        <v>5876135</v>
      </c>
      <c r="D1458">
        <v>21</v>
      </c>
      <c r="E1458" t="s">
        <v>15</v>
      </c>
      <c r="F1458" t="s">
        <v>3871</v>
      </c>
      <c r="G1458">
        <v>1</v>
      </c>
      <c r="H1458" t="s">
        <v>3872</v>
      </c>
      <c r="I1458" t="s">
        <v>119</v>
      </c>
      <c r="J1458" t="s">
        <v>1508</v>
      </c>
      <c r="K1458" t="s">
        <v>20</v>
      </c>
      <c r="L1458" t="s">
        <v>2996</v>
      </c>
      <c r="M1458" s="3" t="str">
        <f>HYPERLINK("..\..\Imagery\ScannedPhotos\1985\GM85-370.jpg")</f>
        <v>..\..\Imagery\ScannedPhotos\1985\GM85-370.jpg</v>
      </c>
    </row>
    <row r="1459" spans="1:13" x14ac:dyDescent="0.25">
      <c r="A1459" t="s">
        <v>3873</v>
      </c>
      <c r="B1459">
        <v>559129</v>
      </c>
      <c r="C1459">
        <v>5876674</v>
      </c>
      <c r="D1459">
        <v>21</v>
      </c>
      <c r="E1459" t="s">
        <v>15</v>
      </c>
      <c r="F1459" t="s">
        <v>3874</v>
      </c>
      <c r="G1459">
        <v>2</v>
      </c>
      <c r="H1459" t="s">
        <v>3872</v>
      </c>
      <c r="I1459" t="s">
        <v>126</v>
      </c>
      <c r="J1459" t="s">
        <v>1508</v>
      </c>
      <c r="K1459" t="s">
        <v>20</v>
      </c>
      <c r="L1459" t="s">
        <v>3875</v>
      </c>
      <c r="M1459" s="3" t="str">
        <f>HYPERLINK("..\..\Imagery\ScannedPhotos\1985\GM85-378.1.jpg")</f>
        <v>..\..\Imagery\ScannedPhotos\1985\GM85-378.1.jpg</v>
      </c>
    </row>
    <row r="1460" spans="1:13" x14ac:dyDescent="0.25">
      <c r="A1460" t="s">
        <v>3873</v>
      </c>
      <c r="B1460">
        <v>559129</v>
      </c>
      <c r="C1460">
        <v>5876674</v>
      </c>
      <c r="D1460">
        <v>21</v>
      </c>
      <c r="E1460" t="s">
        <v>15</v>
      </c>
      <c r="F1460" t="s">
        <v>3876</v>
      </c>
      <c r="G1460">
        <v>2</v>
      </c>
      <c r="H1460" t="s">
        <v>3872</v>
      </c>
      <c r="I1460" t="s">
        <v>108</v>
      </c>
      <c r="J1460" t="s">
        <v>1508</v>
      </c>
      <c r="K1460" t="s">
        <v>20</v>
      </c>
      <c r="L1460" t="s">
        <v>3875</v>
      </c>
      <c r="M1460" s="3" t="str">
        <f>HYPERLINK("..\..\Imagery\ScannedPhotos\1985\GM85-378.2.jpg")</f>
        <v>..\..\Imagery\ScannedPhotos\1985\GM85-378.2.jpg</v>
      </c>
    </row>
    <row r="1461" spans="1:13" x14ac:dyDescent="0.25">
      <c r="A1461" t="s">
        <v>3877</v>
      </c>
      <c r="B1461">
        <v>561400</v>
      </c>
      <c r="C1461">
        <v>5876549</v>
      </c>
      <c r="D1461">
        <v>21</v>
      </c>
      <c r="E1461" t="s">
        <v>15</v>
      </c>
      <c r="F1461" t="s">
        <v>3878</v>
      </c>
      <c r="G1461">
        <v>2</v>
      </c>
      <c r="H1461" t="s">
        <v>3872</v>
      </c>
      <c r="I1461" t="s">
        <v>143</v>
      </c>
      <c r="J1461" t="s">
        <v>1508</v>
      </c>
      <c r="K1461" t="s">
        <v>20</v>
      </c>
      <c r="L1461" t="s">
        <v>3879</v>
      </c>
      <c r="M1461" s="3" t="str">
        <f>HYPERLINK("..\..\Imagery\ScannedPhotos\1985\GM85-384.2.jpg")</f>
        <v>..\..\Imagery\ScannedPhotos\1985\GM85-384.2.jpg</v>
      </c>
    </row>
    <row r="1462" spans="1:13" x14ac:dyDescent="0.25">
      <c r="A1462" t="s">
        <v>3877</v>
      </c>
      <c r="B1462">
        <v>561400</v>
      </c>
      <c r="C1462">
        <v>5876549</v>
      </c>
      <c r="D1462">
        <v>21</v>
      </c>
      <c r="E1462" t="s">
        <v>15</v>
      </c>
      <c r="F1462" t="s">
        <v>3880</v>
      </c>
      <c r="G1462">
        <v>2</v>
      </c>
      <c r="H1462" t="s">
        <v>3872</v>
      </c>
      <c r="I1462" t="s">
        <v>129</v>
      </c>
      <c r="J1462" t="s">
        <v>1508</v>
      </c>
      <c r="K1462" t="s">
        <v>20</v>
      </c>
      <c r="L1462" t="s">
        <v>3879</v>
      </c>
      <c r="M1462" s="3" t="str">
        <f>HYPERLINK("..\..\Imagery\ScannedPhotos\1985\GM85-384.1.jpg")</f>
        <v>..\..\Imagery\ScannedPhotos\1985\GM85-384.1.jpg</v>
      </c>
    </row>
    <row r="1463" spans="1:13" x14ac:dyDescent="0.25">
      <c r="A1463" t="s">
        <v>3881</v>
      </c>
      <c r="B1463">
        <v>566143</v>
      </c>
      <c r="C1463">
        <v>5874735</v>
      </c>
      <c r="D1463">
        <v>21</v>
      </c>
      <c r="E1463" t="s">
        <v>15</v>
      </c>
      <c r="F1463" t="s">
        <v>3882</v>
      </c>
      <c r="G1463">
        <v>2</v>
      </c>
      <c r="H1463" t="s">
        <v>3872</v>
      </c>
      <c r="I1463" t="s">
        <v>47</v>
      </c>
      <c r="J1463" t="s">
        <v>1508</v>
      </c>
      <c r="K1463" t="s">
        <v>20</v>
      </c>
      <c r="L1463" t="s">
        <v>3883</v>
      </c>
      <c r="M1463" s="3" t="str">
        <f>HYPERLINK("..\..\Imagery\ScannedPhotos\1985\GM85-435.2.jpg")</f>
        <v>..\..\Imagery\ScannedPhotos\1985\GM85-435.2.jpg</v>
      </c>
    </row>
    <row r="1464" spans="1:13" x14ac:dyDescent="0.25">
      <c r="A1464" t="s">
        <v>3881</v>
      </c>
      <c r="B1464">
        <v>566143</v>
      </c>
      <c r="C1464">
        <v>5874735</v>
      </c>
      <c r="D1464">
        <v>21</v>
      </c>
      <c r="E1464" t="s">
        <v>15</v>
      </c>
      <c r="F1464" t="s">
        <v>3884</v>
      </c>
      <c r="G1464">
        <v>2</v>
      </c>
      <c r="H1464" t="s">
        <v>3872</v>
      </c>
      <c r="I1464" t="s">
        <v>147</v>
      </c>
      <c r="J1464" t="s">
        <v>1508</v>
      </c>
      <c r="K1464" t="s">
        <v>20</v>
      </c>
      <c r="L1464" t="s">
        <v>3883</v>
      </c>
      <c r="M1464" s="3" t="str">
        <f>HYPERLINK("..\..\Imagery\ScannedPhotos\1985\GM85-435.1.jpg")</f>
        <v>..\..\Imagery\ScannedPhotos\1985\GM85-435.1.jpg</v>
      </c>
    </row>
    <row r="1465" spans="1:13" x14ac:dyDescent="0.25">
      <c r="A1465" t="s">
        <v>3885</v>
      </c>
      <c r="B1465">
        <v>569776</v>
      </c>
      <c r="C1465">
        <v>5874107</v>
      </c>
      <c r="D1465">
        <v>21</v>
      </c>
      <c r="E1465" t="s">
        <v>15</v>
      </c>
      <c r="F1465" t="s">
        <v>3886</v>
      </c>
      <c r="G1465">
        <v>2</v>
      </c>
      <c r="H1465" t="s">
        <v>3872</v>
      </c>
      <c r="I1465" t="s">
        <v>65</v>
      </c>
      <c r="J1465" t="s">
        <v>1508</v>
      </c>
      <c r="K1465" t="s">
        <v>20</v>
      </c>
      <c r="L1465" t="s">
        <v>3887</v>
      </c>
      <c r="M1465" s="3" t="str">
        <f>HYPERLINK("..\..\Imagery\ScannedPhotos\1985\GM85-452.2.jpg")</f>
        <v>..\..\Imagery\ScannedPhotos\1985\GM85-452.2.jpg</v>
      </c>
    </row>
    <row r="1466" spans="1:13" x14ac:dyDescent="0.25">
      <c r="A1466" t="s">
        <v>3885</v>
      </c>
      <c r="B1466">
        <v>569776</v>
      </c>
      <c r="C1466">
        <v>5874107</v>
      </c>
      <c r="D1466">
        <v>21</v>
      </c>
      <c r="E1466" t="s">
        <v>15</v>
      </c>
      <c r="F1466" t="s">
        <v>3888</v>
      </c>
      <c r="G1466">
        <v>2</v>
      </c>
      <c r="H1466" t="s">
        <v>3872</v>
      </c>
      <c r="I1466" t="s">
        <v>52</v>
      </c>
      <c r="J1466" t="s">
        <v>1508</v>
      </c>
      <c r="K1466" t="s">
        <v>20</v>
      </c>
      <c r="L1466" t="s">
        <v>3887</v>
      </c>
      <c r="M1466" s="3" t="str">
        <f>HYPERLINK("..\..\Imagery\ScannedPhotos\1985\GM85-452.1.jpg")</f>
        <v>..\..\Imagery\ScannedPhotos\1985\GM85-452.1.jpg</v>
      </c>
    </row>
    <row r="1467" spans="1:13" x14ac:dyDescent="0.25">
      <c r="A1467" t="s">
        <v>1078</v>
      </c>
      <c r="B1467">
        <v>514518</v>
      </c>
      <c r="C1467">
        <v>5822840</v>
      </c>
      <c r="D1467">
        <v>21</v>
      </c>
      <c r="E1467" t="s">
        <v>15</v>
      </c>
      <c r="F1467" t="s">
        <v>3889</v>
      </c>
      <c r="G1467">
        <v>3</v>
      </c>
      <c r="H1467" t="s">
        <v>288</v>
      </c>
      <c r="I1467" t="s">
        <v>18</v>
      </c>
      <c r="J1467" t="s">
        <v>289</v>
      </c>
      <c r="K1467" t="s">
        <v>20</v>
      </c>
      <c r="L1467" t="s">
        <v>1080</v>
      </c>
      <c r="M1467" s="3" t="str">
        <f>HYPERLINK("..\..\Imagery\ScannedPhotos\1986\CG86-621.2.jpg")</f>
        <v>..\..\Imagery\ScannedPhotos\1986\CG86-621.2.jpg</v>
      </c>
    </row>
    <row r="1468" spans="1:13" x14ac:dyDescent="0.25">
      <c r="A1468" t="s">
        <v>1078</v>
      </c>
      <c r="B1468">
        <v>514518</v>
      </c>
      <c r="C1468">
        <v>5822840</v>
      </c>
      <c r="D1468">
        <v>21</v>
      </c>
      <c r="E1468" t="s">
        <v>15</v>
      </c>
      <c r="F1468" t="s">
        <v>3890</v>
      </c>
      <c r="G1468">
        <v>3</v>
      </c>
      <c r="H1468" t="s">
        <v>288</v>
      </c>
      <c r="I1468" t="s">
        <v>35</v>
      </c>
      <c r="J1468" t="s">
        <v>289</v>
      </c>
      <c r="K1468" t="s">
        <v>56</v>
      </c>
      <c r="L1468" t="s">
        <v>3891</v>
      </c>
      <c r="M1468" s="3" t="str">
        <f>HYPERLINK("..\..\Imagery\ScannedPhotos\1986\CG86-621.3.jpg")</f>
        <v>..\..\Imagery\ScannedPhotos\1986\CG86-621.3.jpg</v>
      </c>
    </row>
    <row r="1469" spans="1:13" x14ac:dyDescent="0.25">
      <c r="A1469" t="s">
        <v>3892</v>
      </c>
      <c r="B1469">
        <v>520095</v>
      </c>
      <c r="C1469">
        <v>5897030</v>
      </c>
      <c r="D1469">
        <v>21</v>
      </c>
      <c r="E1469" t="s">
        <v>15</v>
      </c>
      <c r="F1469" t="s">
        <v>3893</v>
      </c>
      <c r="G1469">
        <v>2</v>
      </c>
      <c r="H1469" t="s">
        <v>2284</v>
      </c>
      <c r="I1469" t="s">
        <v>65</v>
      </c>
      <c r="J1469" t="s">
        <v>3136</v>
      </c>
      <c r="K1469" t="s">
        <v>20</v>
      </c>
      <c r="L1469" t="s">
        <v>3894</v>
      </c>
      <c r="M1469" s="3" t="str">
        <f>HYPERLINK("..\..\Imagery\ScannedPhotos\1985\CG85-140.2.jpg")</f>
        <v>..\..\Imagery\ScannedPhotos\1985\CG85-140.2.jpg</v>
      </c>
    </row>
    <row r="1470" spans="1:13" x14ac:dyDescent="0.25">
      <c r="A1470" t="s">
        <v>3892</v>
      </c>
      <c r="B1470">
        <v>520095</v>
      </c>
      <c r="C1470">
        <v>5897030</v>
      </c>
      <c r="D1470">
        <v>21</v>
      </c>
      <c r="E1470" t="s">
        <v>15</v>
      </c>
      <c r="F1470" t="s">
        <v>3895</v>
      </c>
      <c r="G1470">
        <v>2</v>
      </c>
      <c r="H1470" t="s">
        <v>2084</v>
      </c>
      <c r="I1470" t="s">
        <v>281</v>
      </c>
      <c r="J1470" t="s">
        <v>1014</v>
      </c>
      <c r="K1470" t="s">
        <v>56</v>
      </c>
      <c r="L1470" t="s">
        <v>3894</v>
      </c>
      <c r="M1470" s="3" t="str">
        <f>HYPERLINK("..\..\Imagery\ScannedPhotos\1985\CG85-140.1.jpg")</f>
        <v>..\..\Imagery\ScannedPhotos\1985\CG85-140.1.jpg</v>
      </c>
    </row>
    <row r="1471" spans="1:13" x14ac:dyDescent="0.25">
      <c r="A1471" t="s">
        <v>3896</v>
      </c>
      <c r="B1471">
        <v>515859</v>
      </c>
      <c r="C1471">
        <v>5890443</v>
      </c>
      <c r="D1471">
        <v>21</v>
      </c>
      <c r="E1471" t="s">
        <v>15</v>
      </c>
      <c r="F1471" t="s">
        <v>3897</v>
      </c>
      <c r="G1471">
        <v>6</v>
      </c>
      <c r="H1471" t="s">
        <v>2459</v>
      </c>
      <c r="I1471" t="s">
        <v>52</v>
      </c>
      <c r="J1471" t="s">
        <v>2247</v>
      </c>
      <c r="K1471" t="s">
        <v>228</v>
      </c>
      <c r="L1471" t="s">
        <v>3898</v>
      </c>
      <c r="M1471" s="3" t="str">
        <f>HYPERLINK("..\..\Imagery\ScannedPhotos\1985\CG85-145.4.jpg")</f>
        <v>..\..\Imagery\ScannedPhotos\1985\CG85-145.4.jpg</v>
      </c>
    </row>
    <row r="1472" spans="1:13" x14ac:dyDescent="0.25">
      <c r="A1472" t="s">
        <v>3896</v>
      </c>
      <c r="B1472">
        <v>515859</v>
      </c>
      <c r="C1472">
        <v>5890443</v>
      </c>
      <c r="D1472">
        <v>21</v>
      </c>
      <c r="E1472" t="s">
        <v>15</v>
      </c>
      <c r="F1472" t="s">
        <v>3899</v>
      </c>
      <c r="G1472">
        <v>6</v>
      </c>
      <c r="H1472" t="s">
        <v>2459</v>
      </c>
      <c r="I1472" t="s">
        <v>47</v>
      </c>
      <c r="J1472" t="s">
        <v>2247</v>
      </c>
      <c r="K1472" t="s">
        <v>228</v>
      </c>
      <c r="L1472" t="s">
        <v>3900</v>
      </c>
      <c r="M1472" s="3" t="str">
        <f>HYPERLINK("..\..\Imagery\ScannedPhotos\1985\CG85-145.3.jpg")</f>
        <v>..\..\Imagery\ScannedPhotos\1985\CG85-145.3.jpg</v>
      </c>
    </row>
    <row r="1473" spans="1:13" x14ac:dyDescent="0.25">
      <c r="A1473" t="s">
        <v>3896</v>
      </c>
      <c r="B1473">
        <v>515859</v>
      </c>
      <c r="C1473">
        <v>5890443</v>
      </c>
      <c r="D1473">
        <v>21</v>
      </c>
      <c r="E1473" t="s">
        <v>15</v>
      </c>
      <c r="F1473" t="s">
        <v>3901</v>
      </c>
      <c r="G1473">
        <v>6</v>
      </c>
      <c r="H1473" t="s">
        <v>2459</v>
      </c>
      <c r="I1473" t="s">
        <v>147</v>
      </c>
      <c r="J1473" t="s">
        <v>2247</v>
      </c>
      <c r="K1473" t="s">
        <v>228</v>
      </c>
      <c r="L1473" t="s">
        <v>3902</v>
      </c>
      <c r="M1473" s="3" t="str">
        <f>HYPERLINK("..\..\Imagery\ScannedPhotos\1985\CG85-145.2.jpg")</f>
        <v>..\..\Imagery\ScannedPhotos\1985\CG85-145.2.jpg</v>
      </c>
    </row>
    <row r="1474" spans="1:13" x14ac:dyDescent="0.25">
      <c r="A1474" t="s">
        <v>3903</v>
      </c>
      <c r="B1474">
        <v>569340</v>
      </c>
      <c r="C1474">
        <v>5884587</v>
      </c>
      <c r="D1474">
        <v>21</v>
      </c>
      <c r="E1474" t="s">
        <v>15</v>
      </c>
      <c r="F1474" t="s">
        <v>3904</v>
      </c>
      <c r="G1474">
        <v>6</v>
      </c>
      <c r="H1474" t="s">
        <v>2412</v>
      </c>
      <c r="I1474" t="s">
        <v>18</v>
      </c>
      <c r="J1474" t="s">
        <v>1463</v>
      </c>
      <c r="K1474" t="s">
        <v>20</v>
      </c>
      <c r="L1474" t="s">
        <v>3905</v>
      </c>
      <c r="M1474" s="3" t="str">
        <f>HYPERLINK("..\..\Imagery\ScannedPhotos\1985\GM85-498.3.jpg")</f>
        <v>..\..\Imagery\ScannedPhotos\1985\GM85-498.3.jpg</v>
      </c>
    </row>
    <row r="1475" spans="1:13" x14ac:dyDescent="0.25">
      <c r="A1475" t="s">
        <v>3903</v>
      </c>
      <c r="B1475">
        <v>569340</v>
      </c>
      <c r="C1475">
        <v>5884587</v>
      </c>
      <c r="D1475">
        <v>21</v>
      </c>
      <c r="E1475" t="s">
        <v>15</v>
      </c>
      <c r="F1475" t="s">
        <v>3906</v>
      </c>
      <c r="G1475">
        <v>6</v>
      </c>
      <c r="H1475" t="s">
        <v>2412</v>
      </c>
      <c r="I1475" t="s">
        <v>281</v>
      </c>
      <c r="J1475" t="s">
        <v>1463</v>
      </c>
      <c r="K1475" t="s">
        <v>20</v>
      </c>
      <c r="L1475" t="s">
        <v>3907</v>
      </c>
      <c r="M1475" s="3" t="str">
        <f>HYPERLINK("..\..\Imagery\ScannedPhotos\1985\GM85-498.1.jpg")</f>
        <v>..\..\Imagery\ScannedPhotos\1985\GM85-498.1.jpg</v>
      </c>
    </row>
    <row r="1476" spans="1:13" x14ac:dyDescent="0.25">
      <c r="A1476" t="s">
        <v>3903</v>
      </c>
      <c r="B1476">
        <v>569340</v>
      </c>
      <c r="C1476">
        <v>5884587</v>
      </c>
      <c r="D1476">
        <v>21</v>
      </c>
      <c r="E1476" t="s">
        <v>15</v>
      </c>
      <c r="F1476" t="s">
        <v>3908</v>
      </c>
      <c r="G1476">
        <v>6</v>
      </c>
      <c r="H1476" t="s">
        <v>2412</v>
      </c>
      <c r="I1476" t="s">
        <v>137</v>
      </c>
      <c r="J1476" t="s">
        <v>1463</v>
      </c>
      <c r="K1476" t="s">
        <v>20</v>
      </c>
      <c r="L1476" t="s">
        <v>3907</v>
      </c>
      <c r="M1476" s="3" t="str">
        <f>HYPERLINK("..\..\Imagery\ScannedPhotos\1985\GM85-498.2.jpg")</f>
        <v>..\..\Imagery\ScannedPhotos\1985\GM85-498.2.jpg</v>
      </c>
    </row>
    <row r="1477" spans="1:13" x14ac:dyDescent="0.25">
      <c r="A1477" t="s">
        <v>3903</v>
      </c>
      <c r="B1477">
        <v>569340</v>
      </c>
      <c r="C1477">
        <v>5884587</v>
      </c>
      <c r="D1477">
        <v>21</v>
      </c>
      <c r="E1477" t="s">
        <v>15</v>
      </c>
      <c r="F1477" t="s">
        <v>3909</v>
      </c>
      <c r="G1477">
        <v>6</v>
      </c>
      <c r="H1477" t="s">
        <v>2412</v>
      </c>
      <c r="I1477" t="s">
        <v>69</v>
      </c>
      <c r="J1477" t="s">
        <v>1463</v>
      </c>
      <c r="K1477" t="s">
        <v>20</v>
      </c>
      <c r="L1477" t="s">
        <v>3905</v>
      </c>
      <c r="M1477" s="3" t="str">
        <f>HYPERLINK("..\..\Imagery\ScannedPhotos\1985\GM85-498.5.jpg")</f>
        <v>..\..\Imagery\ScannedPhotos\1985\GM85-498.5.jpg</v>
      </c>
    </row>
    <row r="1478" spans="1:13" x14ac:dyDescent="0.25">
      <c r="A1478" t="s">
        <v>3903</v>
      </c>
      <c r="B1478">
        <v>569340</v>
      </c>
      <c r="C1478">
        <v>5884587</v>
      </c>
      <c r="D1478">
        <v>21</v>
      </c>
      <c r="E1478" t="s">
        <v>15</v>
      </c>
      <c r="F1478" t="s">
        <v>3910</v>
      </c>
      <c r="G1478">
        <v>6</v>
      </c>
      <c r="H1478" t="s">
        <v>2412</v>
      </c>
      <c r="I1478" t="s">
        <v>35</v>
      </c>
      <c r="J1478" t="s">
        <v>1463</v>
      </c>
      <c r="K1478" t="s">
        <v>20</v>
      </c>
      <c r="L1478" t="s">
        <v>3905</v>
      </c>
      <c r="M1478" s="3" t="str">
        <f>HYPERLINK("..\..\Imagery\ScannedPhotos\1985\GM85-498.4.jpg")</f>
        <v>..\..\Imagery\ScannedPhotos\1985\GM85-498.4.jpg</v>
      </c>
    </row>
    <row r="1479" spans="1:13" x14ac:dyDescent="0.25">
      <c r="A1479" t="s">
        <v>3903</v>
      </c>
      <c r="B1479">
        <v>569340</v>
      </c>
      <c r="C1479">
        <v>5884587</v>
      </c>
      <c r="D1479">
        <v>21</v>
      </c>
      <c r="E1479" t="s">
        <v>15</v>
      </c>
      <c r="F1479" t="s">
        <v>3911</v>
      </c>
      <c r="G1479">
        <v>6</v>
      </c>
      <c r="H1479" t="s">
        <v>2412</v>
      </c>
      <c r="I1479" t="s">
        <v>74</v>
      </c>
      <c r="J1479" t="s">
        <v>1463</v>
      </c>
      <c r="K1479" t="s">
        <v>20</v>
      </c>
      <c r="L1479" t="s">
        <v>3905</v>
      </c>
      <c r="M1479" s="3" t="str">
        <f>HYPERLINK("..\..\Imagery\ScannedPhotos\1985\GM85-498.6.jpg")</f>
        <v>..\..\Imagery\ScannedPhotos\1985\GM85-498.6.jpg</v>
      </c>
    </row>
    <row r="1480" spans="1:13" x14ac:dyDescent="0.25">
      <c r="A1480" t="s">
        <v>3912</v>
      </c>
      <c r="B1480">
        <v>569829</v>
      </c>
      <c r="C1480">
        <v>5885441</v>
      </c>
      <c r="D1480">
        <v>21</v>
      </c>
      <c r="E1480" t="s">
        <v>15</v>
      </c>
      <c r="F1480" t="s">
        <v>3913</v>
      </c>
      <c r="G1480">
        <v>1</v>
      </c>
      <c r="H1480" t="s">
        <v>2412</v>
      </c>
      <c r="I1480" t="s">
        <v>41</v>
      </c>
      <c r="J1480" t="s">
        <v>1463</v>
      </c>
      <c r="K1480" t="s">
        <v>20</v>
      </c>
      <c r="L1480" t="s">
        <v>642</v>
      </c>
      <c r="M1480" s="3" t="str">
        <f>HYPERLINK("..\..\Imagery\ScannedPhotos\1985\GM85-501.jpg")</f>
        <v>..\..\Imagery\ScannedPhotos\1985\GM85-501.jpg</v>
      </c>
    </row>
    <row r="1481" spans="1:13" x14ac:dyDescent="0.25">
      <c r="A1481" t="s">
        <v>3914</v>
      </c>
      <c r="B1481">
        <v>525038</v>
      </c>
      <c r="C1481">
        <v>5720647</v>
      </c>
      <c r="D1481">
        <v>21</v>
      </c>
      <c r="E1481" t="s">
        <v>15</v>
      </c>
      <c r="F1481" t="s">
        <v>3915</v>
      </c>
      <c r="G1481">
        <v>1</v>
      </c>
      <c r="H1481" t="s">
        <v>2418</v>
      </c>
      <c r="I1481" t="s">
        <v>195</v>
      </c>
      <c r="J1481" t="s">
        <v>570</v>
      </c>
      <c r="K1481" t="s">
        <v>20</v>
      </c>
      <c r="L1481" t="s">
        <v>3916</v>
      </c>
      <c r="M1481" s="3" t="str">
        <f>HYPERLINK("..\..\Imagery\ScannedPhotos\1993\VN93-107.jpg")</f>
        <v>..\..\Imagery\ScannedPhotos\1993\VN93-107.jpg</v>
      </c>
    </row>
    <row r="1482" spans="1:13" x14ac:dyDescent="0.25">
      <c r="A1482" t="s">
        <v>3917</v>
      </c>
      <c r="B1482">
        <v>562184</v>
      </c>
      <c r="C1482">
        <v>5779638</v>
      </c>
      <c r="D1482">
        <v>21</v>
      </c>
      <c r="E1482" t="s">
        <v>15</v>
      </c>
      <c r="F1482" t="s">
        <v>3918</v>
      </c>
      <c r="G1482">
        <v>2</v>
      </c>
      <c r="K1482" t="s">
        <v>20</v>
      </c>
      <c r="L1482" t="s">
        <v>3919</v>
      </c>
      <c r="M1482" s="3" t="str">
        <f>HYPERLINK("..\..\Imagery\ScannedPhotos\2003\CG03-100.1.jpg")</f>
        <v>..\..\Imagery\ScannedPhotos\2003\CG03-100.1.jpg</v>
      </c>
    </row>
    <row r="1483" spans="1:13" x14ac:dyDescent="0.25">
      <c r="A1483" t="s">
        <v>3917</v>
      </c>
      <c r="B1483">
        <v>562184</v>
      </c>
      <c r="C1483">
        <v>5779638</v>
      </c>
      <c r="D1483">
        <v>21</v>
      </c>
      <c r="E1483" t="s">
        <v>15</v>
      </c>
      <c r="F1483" t="s">
        <v>3920</v>
      </c>
      <c r="G1483">
        <v>2</v>
      </c>
      <c r="K1483" t="s">
        <v>56</v>
      </c>
      <c r="L1483" t="s">
        <v>3921</v>
      </c>
      <c r="M1483" s="3" t="str">
        <f>HYPERLINK("..\..\Imagery\ScannedPhotos\2003\CG03-100.2.jpg")</f>
        <v>..\..\Imagery\ScannedPhotos\2003\CG03-100.2.jpg</v>
      </c>
    </row>
    <row r="1484" spans="1:13" x14ac:dyDescent="0.25">
      <c r="A1484" t="s">
        <v>3922</v>
      </c>
      <c r="B1484">
        <v>564924</v>
      </c>
      <c r="C1484">
        <v>5781226</v>
      </c>
      <c r="D1484">
        <v>21</v>
      </c>
      <c r="E1484" t="s">
        <v>15</v>
      </c>
      <c r="F1484" t="s">
        <v>3923</v>
      </c>
      <c r="G1484">
        <v>2</v>
      </c>
      <c r="K1484" t="s">
        <v>56</v>
      </c>
      <c r="L1484" t="s">
        <v>3924</v>
      </c>
      <c r="M1484" s="3" t="str">
        <f>HYPERLINK("..\..\Imagery\ScannedPhotos\2003\CG03-102.1.jpg")</f>
        <v>..\..\Imagery\ScannedPhotos\2003\CG03-102.1.jpg</v>
      </c>
    </row>
    <row r="1485" spans="1:13" x14ac:dyDescent="0.25">
      <c r="A1485" t="s">
        <v>3925</v>
      </c>
      <c r="B1485">
        <v>566129</v>
      </c>
      <c r="C1485">
        <v>5782382</v>
      </c>
      <c r="D1485">
        <v>21</v>
      </c>
      <c r="E1485" t="s">
        <v>15</v>
      </c>
      <c r="F1485" t="s">
        <v>3926</v>
      </c>
      <c r="G1485">
        <v>1</v>
      </c>
      <c r="K1485" t="s">
        <v>56</v>
      </c>
      <c r="L1485" t="s">
        <v>3927</v>
      </c>
      <c r="M1485" s="3" t="str">
        <f>HYPERLINK("..\..\Imagery\ScannedPhotos\2003\CG03-103.jpg")</f>
        <v>..\..\Imagery\ScannedPhotos\2003\CG03-103.jpg</v>
      </c>
    </row>
    <row r="1486" spans="1:13" x14ac:dyDescent="0.25">
      <c r="A1486" t="s">
        <v>1572</v>
      </c>
      <c r="B1486">
        <v>570310</v>
      </c>
      <c r="C1486">
        <v>5784110</v>
      </c>
      <c r="D1486">
        <v>21</v>
      </c>
      <c r="E1486" t="s">
        <v>15</v>
      </c>
      <c r="F1486" t="s">
        <v>3928</v>
      </c>
      <c r="G1486">
        <v>3</v>
      </c>
      <c r="K1486" t="s">
        <v>20</v>
      </c>
      <c r="L1486" t="s">
        <v>3929</v>
      </c>
      <c r="M1486" s="3" t="str">
        <f>HYPERLINK("..\..\Imagery\ScannedPhotos\2003\CG03-113.1.jpg")</f>
        <v>..\..\Imagery\ScannedPhotos\2003\CG03-113.1.jpg</v>
      </c>
    </row>
    <row r="1487" spans="1:13" x14ac:dyDescent="0.25">
      <c r="A1487" t="s">
        <v>2874</v>
      </c>
      <c r="B1487">
        <v>525055</v>
      </c>
      <c r="C1487">
        <v>5738091</v>
      </c>
      <c r="D1487">
        <v>21</v>
      </c>
      <c r="E1487" t="s">
        <v>15</v>
      </c>
      <c r="F1487" t="s">
        <v>3930</v>
      </c>
      <c r="G1487">
        <v>3</v>
      </c>
      <c r="H1487" t="s">
        <v>1732</v>
      </c>
      <c r="I1487" t="s">
        <v>143</v>
      </c>
      <c r="J1487" t="s">
        <v>1733</v>
      </c>
      <c r="K1487" t="s">
        <v>20</v>
      </c>
      <c r="L1487" t="s">
        <v>3931</v>
      </c>
      <c r="M1487" s="3" t="str">
        <f>HYPERLINK("..\..\Imagery\ScannedPhotos\1993\CG93-685.1.jpg")</f>
        <v>..\..\Imagery\ScannedPhotos\1993\CG93-685.1.jpg</v>
      </c>
    </row>
    <row r="1488" spans="1:13" x14ac:dyDescent="0.25">
      <c r="A1488" t="s">
        <v>2874</v>
      </c>
      <c r="B1488">
        <v>525055</v>
      </c>
      <c r="C1488">
        <v>5738091</v>
      </c>
      <c r="D1488">
        <v>21</v>
      </c>
      <c r="E1488" t="s">
        <v>15</v>
      </c>
      <c r="F1488" t="s">
        <v>3932</v>
      </c>
      <c r="G1488">
        <v>3</v>
      </c>
      <c r="H1488" t="s">
        <v>1732</v>
      </c>
      <c r="I1488" t="s">
        <v>147</v>
      </c>
      <c r="J1488" t="s">
        <v>1733</v>
      </c>
      <c r="K1488" t="s">
        <v>20</v>
      </c>
      <c r="L1488" t="s">
        <v>3931</v>
      </c>
      <c r="M1488" s="3" t="str">
        <f>HYPERLINK("..\..\Imagery\ScannedPhotos\1993\CG93-685.2.jpg")</f>
        <v>..\..\Imagery\ScannedPhotos\1993\CG93-685.2.jpg</v>
      </c>
    </row>
    <row r="1489" spans="1:13" x14ac:dyDescent="0.25">
      <c r="A1489" t="s">
        <v>3933</v>
      </c>
      <c r="B1489">
        <v>525536</v>
      </c>
      <c r="C1489">
        <v>5741651</v>
      </c>
      <c r="D1489">
        <v>21</v>
      </c>
      <c r="E1489" t="s">
        <v>15</v>
      </c>
      <c r="F1489" t="s">
        <v>3934</v>
      </c>
      <c r="G1489">
        <v>1</v>
      </c>
      <c r="H1489" t="s">
        <v>1732</v>
      </c>
      <c r="I1489" t="s">
        <v>52</v>
      </c>
      <c r="J1489" t="s">
        <v>1733</v>
      </c>
      <c r="K1489" t="s">
        <v>56</v>
      </c>
      <c r="L1489" t="s">
        <v>3935</v>
      </c>
      <c r="M1489" s="3" t="str">
        <f>HYPERLINK("..\..\Imagery\ScannedPhotos\1993\CG93-694.jpg")</f>
        <v>..\..\Imagery\ScannedPhotos\1993\CG93-694.jpg</v>
      </c>
    </row>
    <row r="1490" spans="1:13" x14ac:dyDescent="0.25">
      <c r="A1490" t="s">
        <v>3936</v>
      </c>
      <c r="B1490">
        <v>525373</v>
      </c>
      <c r="C1490">
        <v>5742106</v>
      </c>
      <c r="D1490">
        <v>21</v>
      </c>
      <c r="E1490" t="s">
        <v>15</v>
      </c>
      <c r="F1490" t="s">
        <v>3937</v>
      </c>
      <c r="G1490">
        <v>2</v>
      </c>
      <c r="H1490" t="s">
        <v>1732</v>
      </c>
      <c r="I1490" t="s">
        <v>401</v>
      </c>
      <c r="J1490" t="s">
        <v>1733</v>
      </c>
      <c r="K1490" t="s">
        <v>20</v>
      </c>
      <c r="L1490" t="s">
        <v>3938</v>
      </c>
      <c r="M1490" s="3" t="str">
        <f>HYPERLINK("..\..\Imagery\ScannedPhotos\1993\CG93-695.2.jpg")</f>
        <v>..\..\Imagery\ScannedPhotos\1993\CG93-695.2.jpg</v>
      </c>
    </row>
    <row r="1491" spans="1:13" x14ac:dyDescent="0.25">
      <c r="A1491" t="s">
        <v>3939</v>
      </c>
      <c r="B1491">
        <v>547654</v>
      </c>
      <c r="C1491">
        <v>5822263</v>
      </c>
      <c r="D1491">
        <v>21</v>
      </c>
      <c r="E1491" t="s">
        <v>15</v>
      </c>
      <c r="F1491" t="s">
        <v>3940</v>
      </c>
      <c r="G1491">
        <v>1</v>
      </c>
      <c r="H1491" t="s">
        <v>656</v>
      </c>
      <c r="I1491" t="s">
        <v>386</v>
      </c>
      <c r="J1491" t="s">
        <v>657</v>
      </c>
      <c r="K1491" t="s">
        <v>535</v>
      </c>
      <c r="L1491" t="s">
        <v>3941</v>
      </c>
      <c r="M1491" s="3" t="str">
        <f>HYPERLINK("..\..\Imagery\ScannedPhotos\1986\CG86-088.7.jpg")</f>
        <v>..\..\Imagery\ScannedPhotos\1986\CG86-088.7.jpg</v>
      </c>
    </row>
    <row r="1492" spans="1:13" x14ac:dyDescent="0.25">
      <c r="A1492" t="s">
        <v>3939</v>
      </c>
      <c r="B1492">
        <v>547654</v>
      </c>
      <c r="C1492">
        <v>5822263</v>
      </c>
      <c r="D1492">
        <v>21</v>
      </c>
      <c r="E1492" t="s">
        <v>15</v>
      </c>
      <c r="F1492" t="s">
        <v>3942</v>
      </c>
      <c r="G1492">
        <v>1</v>
      </c>
      <c r="H1492" t="s">
        <v>2130</v>
      </c>
      <c r="I1492" t="s">
        <v>294</v>
      </c>
      <c r="J1492" t="s">
        <v>300</v>
      </c>
      <c r="K1492" t="s">
        <v>535</v>
      </c>
      <c r="L1492" t="s">
        <v>3943</v>
      </c>
      <c r="M1492" s="3" t="str">
        <f>HYPERLINK("..\..\Imagery\ScannedPhotos\1986\CG86-088.12.jpg")</f>
        <v>..\..\Imagery\ScannedPhotos\1986\CG86-088.12.jpg</v>
      </c>
    </row>
    <row r="1493" spans="1:13" x14ac:dyDescent="0.25">
      <c r="A1493" t="s">
        <v>3939</v>
      </c>
      <c r="B1493">
        <v>547654</v>
      </c>
      <c r="C1493">
        <v>5822263</v>
      </c>
      <c r="D1493">
        <v>21</v>
      </c>
      <c r="E1493" t="s">
        <v>15</v>
      </c>
      <c r="F1493" t="s">
        <v>3944</v>
      </c>
      <c r="G1493">
        <v>1</v>
      </c>
      <c r="H1493" t="s">
        <v>293</v>
      </c>
      <c r="I1493" t="s">
        <v>94</v>
      </c>
      <c r="J1493" t="s">
        <v>295</v>
      </c>
      <c r="K1493" t="s">
        <v>535</v>
      </c>
      <c r="L1493" t="s">
        <v>3945</v>
      </c>
      <c r="M1493" s="3" t="str">
        <f>HYPERLINK("..\..\Imagery\ScannedPhotos\1986\CG86-088.11.jpg")</f>
        <v>..\..\Imagery\ScannedPhotos\1986\CG86-088.11.jpg</v>
      </c>
    </row>
    <row r="1494" spans="1:13" x14ac:dyDescent="0.25">
      <c r="A1494" t="s">
        <v>3939</v>
      </c>
      <c r="B1494">
        <v>547654</v>
      </c>
      <c r="C1494">
        <v>5822263</v>
      </c>
      <c r="D1494">
        <v>21</v>
      </c>
      <c r="E1494" t="s">
        <v>15</v>
      </c>
      <c r="F1494" t="s">
        <v>3946</v>
      </c>
      <c r="G1494">
        <v>1</v>
      </c>
      <c r="H1494" t="s">
        <v>1750</v>
      </c>
      <c r="I1494" t="s">
        <v>122</v>
      </c>
      <c r="J1494" t="s">
        <v>1751</v>
      </c>
      <c r="K1494" t="s">
        <v>228</v>
      </c>
      <c r="L1494" t="s">
        <v>3947</v>
      </c>
      <c r="M1494" s="3" t="str">
        <f>HYPERLINK("..\..\Imagery\ScannedPhotos\1986\CG86-088.14.jpg")</f>
        <v>..\..\Imagery\ScannedPhotos\1986\CG86-088.14.jpg</v>
      </c>
    </row>
    <row r="1495" spans="1:13" x14ac:dyDescent="0.25">
      <c r="A1495" t="s">
        <v>3939</v>
      </c>
      <c r="B1495">
        <v>547654</v>
      </c>
      <c r="C1495">
        <v>5822263</v>
      </c>
      <c r="D1495">
        <v>21</v>
      </c>
      <c r="E1495" t="s">
        <v>15</v>
      </c>
      <c r="F1495" t="s">
        <v>3948</v>
      </c>
      <c r="G1495">
        <v>18</v>
      </c>
      <c r="H1495" t="s">
        <v>1390</v>
      </c>
      <c r="I1495" t="s">
        <v>137</v>
      </c>
      <c r="J1495" t="s">
        <v>1391</v>
      </c>
      <c r="K1495" t="s">
        <v>535</v>
      </c>
      <c r="L1495" t="s">
        <v>3949</v>
      </c>
      <c r="M1495" s="3" t="str">
        <f>HYPERLINK("..\..\Imagery\ScannedPhotos\1986\CG86-088.18.jpg")</f>
        <v>..\..\Imagery\ScannedPhotos\1986\CG86-088.18.jpg</v>
      </c>
    </row>
    <row r="1496" spans="1:13" x14ac:dyDescent="0.25">
      <c r="A1496" t="s">
        <v>3950</v>
      </c>
      <c r="B1496">
        <v>590159</v>
      </c>
      <c r="C1496">
        <v>5806361</v>
      </c>
      <c r="D1496">
        <v>21</v>
      </c>
      <c r="E1496" t="s">
        <v>15</v>
      </c>
      <c r="F1496" t="s">
        <v>3951</v>
      </c>
      <c r="G1496">
        <v>1</v>
      </c>
      <c r="H1496" t="s">
        <v>1688</v>
      </c>
      <c r="I1496" t="s">
        <v>214</v>
      </c>
      <c r="J1496" t="s">
        <v>1052</v>
      </c>
      <c r="K1496" t="s">
        <v>20</v>
      </c>
      <c r="L1496" t="s">
        <v>3952</v>
      </c>
      <c r="M1496" s="3" t="str">
        <f>HYPERLINK("..\..\Imagery\ScannedPhotos\1987\VN87-391.jpg")</f>
        <v>..\..\Imagery\ScannedPhotos\1987\VN87-391.jpg</v>
      </c>
    </row>
    <row r="1497" spans="1:13" x14ac:dyDescent="0.25">
      <c r="A1497" t="s">
        <v>3953</v>
      </c>
      <c r="B1497">
        <v>566232</v>
      </c>
      <c r="C1497">
        <v>5749124</v>
      </c>
      <c r="D1497">
        <v>21</v>
      </c>
      <c r="E1497" t="s">
        <v>15</v>
      </c>
      <c r="F1497" t="s">
        <v>3954</v>
      </c>
      <c r="G1497">
        <v>2</v>
      </c>
      <c r="H1497" t="s">
        <v>1513</v>
      </c>
      <c r="I1497" t="s">
        <v>114</v>
      </c>
      <c r="J1497" t="s">
        <v>1514</v>
      </c>
      <c r="K1497" t="s">
        <v>20</v>
      </c>
      <c r="L1497" t="s">
        <v>3955</v>
      </c>
      <c r="M1497" s="3" t="str">
        <f>HYPERLINK("..\..\Imagery\ScannedPhotos\1993\CG93-454.2.jpg")</f>
        <v>..\..\Imagery\ScannedPhotos\1993\CG93-454.2.jpg</v>
      </c>
    </row>
    <row r="1498" spans="1:13" x14ac:dyDescent="0.25">
      <c r="A1498" t="s">
        <v>3134</v>
      </c>
      <c r="B1498">
        <v>481685</v>
      </c>
      <c r="C1498">
        <v>5920666</v>
      </c>
      <c r="D1498">
        <v>21</v>
      </c>
      <c r="E1498" t="s">
        <v>15</v>
      </c>
      <c r="F1498" t="s">
        <v>3956</v>
      </c>
      <c r="G1498">
        <v>16</v>
      </c>
      <c r="H1498" t="s">
        <v>60</v>
      </c>
      <c r="I1498" t="s">
        <v>108</v>
      </c>
      <c r="J1498" t="s">
        <v>61</v>
      </c>
      <c r="K1498" t="s">
        <v>535</v>
      </c>
      <c r="L1498" t="s">
        <v>3957</v>
      </c>
      <c r="M1498" s="3" t="str">
        <f>HYPERLINK("..\..\Imagery\ScannedPhotos\2004\CG04-286.9.jpg")</f>
        <v>..\..\Imagery\ScannedPhotos\2004\CG04-286.9.jpg</v>
      </c>
    </row>
    <row r="1499" spans="1:13" x14ac:dyDescent="0.25">
      <c r="A1499" t="s">
        <v>3134</v>
      </c>
      <c r="B1499">
        <v>481685</v>
      </c>
      <c r="C1499">
        <v>5920666</v>
      </c>
      <c r="D1499">
        <v>21</v>
      </c>
      <c r="E1499" t="s">
        <v>15</v>
      </c>
      <c r="F1499" t="s">
        <v>3958</v>
      </c>
      <c r="G1499">
        <v>16</v>
      </c>
      <c r="H1499" t="s">
        <v>60</v>
      </c>
      <c r="I1499" t="s">
        <v>214</v>
      </c>
      <c r="J1499" t="s">
        <v>61</v>
      </c>
      <c r="K1499" t="s">
        <v>228</v>
      </c>
      <c r="L1499" t="s">
        <v>3959</v>
      </c>
      <c r="M1499" s="3" t="str">
        <f>HYPERLINK("..\..\Imagery\ScannedPhotos\2004\CG04-286.8.jpg")</f>
        <v>..\..\Imagery\ScannedPhotos\2004\CG04-286.8.jpg</v>
      </c>
    </row>
    <row r="1500" spans="1:13" x14ac:dyDescent="0.25">
      <c r="A1500" t="s">
        <v>3960</v>
      </c>
      <c r="B1500">
        <v>538318</v>
      </c>
      <c r="C1500">
        <v>5730351</v>
      </c>
      <c r="D1500">
        <v>21</v>
      </c>
      <c r="E1500" t="s">
        <v>15</v>
      </c>
      <c r="F1500" t="s">
        <v>3961</v>
      </c>
      <c r="G1500">
        <v>2</v>
      </c>
      <c r="H1500" t="s">
        <v>1061</v>
      </c>
      <c r="I1500" t="s">
        <v>119</v>
      </c>
      <c r="J1500" t="s">
        <v>1062</v>
      </c>
      <c r="K1500" t="s">
        <v>20</v>
      </c>
      <c r="L1500" t="s">
        <v>3962</v>
      </c>
      <c r="M1500" s="3" t="str">
        <f>HYPERLINK("..\..\Imagery\ScannedPhotos\1993\CG93-031.1.jpg")</f>
        <v>..\..\Imagery\ScannedPhotos\1993\CG93-031.1.jpg</v>
      </c>
    </row>
    <row r="1501" spans="1:13" x14ac:dyDescent="0.25">
      <c r="A1501" t="s">
        <v>3960</v>
      </c>
      <c r="B1501">
        <v>538318</v>
      </c>
      <c r="C1501">
        <v>5730351</v>
      </c>
      <c r="D1501">
        <v>21</v>
      </c>
      <c r="E1501" t="s">
        <v>15</v>
      </c>
      <c r="F1501" t="s">
        <v>3963</v>
      </c>
      <c r="G1501">
        <v>2</v>
      </c>
      <c r="H1501" t="s">
        <v>1061</v>
      </c>
      <c r="I1501" t="s">
        <v>122</v>
      </c>
      <c r="J1501" t="s">
        <v>1062</v>
      </c>
      <c r="K1501" t="s">
        <v>20</v>
      </c>
      <c r="L1501" t="s">
        <v>3962</v>
      </c>
      <c r="M1501" s="3" t="str">
        <f>HYPERLINK("..\..\Imagery\ScannedPhotos\1993\CG93-031.2.jpg")</f>
        <v>..\..\Imagery\ScannedPhotos\1993\CG93-031.2.jpg</v>
      </c>
    </row>
    <row r="1502" spans="1:13" x14ac:dyDescent="0.25">
      <c r="A1502" t="s">
        <v>3964</v>
      </c>
      <c r="B1502">
        <v>538182</v>
      </c>
      <c r="C1502">
        <v>5730130</v>
      </c>
      <c r="D1502">
        <v>21</v>
      </c>
      <c r="E1502" t="s">
        <v>15</v>
      </c>
      <c r="F1502" t="s">
        <v>3965</v>
      </c>
      <c r="G1502">
        <v>1</v>
      </c>
      <c r="H1502" t="s">
        <v>1061</v>
      </c>
      <c r="I1502" t="s">
        <v>126</v>
      </c>
      <c r="J1502" t="s">
        <v>1062</v>
      </c>
      <c r="K1502" t="s">
        <v>20</v>
      </c>
      <c r="L1502" t="s">
        <v>3966</v>
      </c>
      <c r="M1502" s="3" t="str">
        <f>HYPERLINK("..\..\Imagery\ScannedPhotos\1993\CG93-032.jpg")</f>
        <v>..\..\Imagery\ScannedPhotos\1993\CG93-032.jpg</v>
      </c>
    </row>
    <row r="1503" spans="1:13" x14ac:dyDescent="0.25">
      <c r="A1503" t="s">
        <v>3967</v>
      </c>
      <c r="B1503">
        <v>385783</v>
      </c>
      <c r="C1503">
        <v>6101288</v>
      </c>
      <c r="D1503">
        <v>21</v>
      </c>
      <c r="E1503" t="s">
        <v>15</v>
      </c>
      <c r="F1503" t="s">
        <v>3968</v>
      </c>
      <c r="G1503">
        <v>2</v>
      </c>
      <c r="H1503" t="s">
        <v>208</v>
      </c>
      <c r="I1503" t="s">
        <v>129</v>
      </c>
      <c r="J1503" t="s">
        <v>210</v>
      </c>
      <c r="K1503" t="s">
        <v>20</v>
      </c>
      <c r="L1503" t="s">
        <v>3969</v>
      </c>
      <c r="M1503" s="3" t="str">
        <f>HYPERLINK("..\..\Imagery\ScannedPhotos\1979\AD79-114.1.jpg")</f>
        <v>..\..\Imagery\ScannedPhotos\1979\AD79-114.1.jpg</v>
      </c>
    </row>
    <row r="1504" spans="1:13" x14ac:dyDescent="0.25">
      <c r="A1504" t="s">
        <v>3970</v>
      </c>
      <c r="B1504">
        <v>584398</v>
      </c>
      <c r="C1504">
        <v>5790755</v>
      </c>
      <c r="D1504">
        <v>21</v>
      </c>
      <c r="E1504" t="s">
        <v>15</v>
      </c>
      <c r="F1504" t="s">
        <v>3971</v>
      </c>
      <c r="G1504">
        <v>2</v>
      </c>
      <c r="H1504" t="s">
        <v>2984</v>
      </c>
      <c r="I1504" t="s">
        <v>30</v>
      </c>
      <c r="J1504" t="s">
        <v>19</v>
      </c>
      <c r="K1504" t="s">
        <v>20</v>
      </c>
      <c r="L1504" t="s">
        <v>3972</v>
      </c>
      <c r="M1504" s="3" t="str">
        <f>HYPERLINK("..\..\Imagery\ScannedPhotos\1987\CG87-467.2.jpg")</f>
        <v>..\..\Imagery\ScannedPhotos\1987\CG87-467.2.jpg</v>
      </c>
    </row>
    <row r="1505" spans="1:13" x14ac:dyDescent="0.25">
      <c r="A1505" t="s">
        <v>3970</v>
      </c>
      <c r="B1505">
        <v>584398</v>
      </c>
      <c r="C1505">
        <v>5790755</v>
      </c>
      <c r="D1505">
        <v>21</v>
      </c>
      <c r="E1505" t="s">
        <v>15</v>
      </c>
      <c r="F1505" t="s">
        <v>3973</v>
      </c>
      <c r="G1505">
        <v>2</v>
      </c>
      <c r="H1505" t="s">
        <v>2984</v>
      </c>
      <c r="I1505" t="s">
        <v>647</v>
      </c>
      <c r="J1505" t="s">
        <v>19</v>
      </c>
      <c r="K1505" t="s">
        <v>56</v>
      </c>
      <c r="L1505" t="s">
        <v>3974</v>
      </c>
      <c r="M1505" s="3" t="str">
        <f>HYPERLINK("..\..\Imagery\ScannedPhotos\1987\CG87-467.1.jpg")</f>
        <v>..\..\Imagery\ScannedPhotos\1987\CG87-467.1.jpg</v>
      </c>
    </row>
    <row r="1506" spans="1:13" x14ac:dyDescent="0.25">
      <c r="A1506" t="s">
        <v>1971</v>
      </c>
      <c r="B1506">
        <v>466479</v>
      </c>
      <c r="C1506">
        <v>5909395</v>
      </c>
      <c r="D1506">
        <v>21</v>
      </c>
      <c r="E1506" t="s">
        <v>15</v>
      </c>
      <c r="F1506" t="s">
        <v>3975</v>
      </c>
      <c r="G1506">
        <v>2</v>
      </c>
      <c r="H1506" t="s">
        <v>1964</v>
      </c>
      <c r="I1506" t="s">
        <v>222</v>
      </c>
      <c r="J1506" t="s">
        <v>1965</v>
      </c>
      <c r="K1506" t="s">
        <v>20</v>
      </c>
      <c r="L1506" t="s">
        <v>3976</v>
      </c>
      <c r="M1506" s="3" t="str">
        <f>HYPERLINK("..\..\Imagery\ScannedPhotos\1977\MC77-214.1.jpg")</f>
        <v>..\..\Imagery\ScannedPhotos\1977\MC77-214.1.jpg</v>
      </c>
    </row>
    <row r="1507" spans="1:13" x14ac:dyDescent="0.25">
      <c r="A1507" t="s">
        <v>3977</v>
      </c>
      <c r="B1507">
        <v>472783</v>
      </c>
      <c r="C1507">
        <v>5921952</v>
      </c>
      <c r="D1507">
        <v>21</v>
      </c>
      <c r="E1507" t="s">
        <v>15</v>
      </c>
      <c r="F1507" t="s">
        <v>3978</v>
      </c>
      <c r="G1507">
        <v>2</v>
      </c>
      <c r="H1507" t="s">
        <v>1964</v>
      </c>
      <c r="I1507" t="s">
        <v>195</v>
      </c>
      <c r="J1507" t="s">
        <v>1965</v>
      </c>
      <c r="K1507" t="s">
        <v>20</v>
      </c>
      <c r="L1507" t="s">
        <v>3979</v>
      </c>
      <c r="M1507" s="3" t="str">
        <f>HYPERLINK("..\..\Imagery\ScannedPhotos\1977\MC77-217.2.jpg")</f>
        <v>..\..\Imagery\ScannedPhotos\1977\MC77-217.2.jpg</v>
      </c>
    </row>
    <row r="1508" spans="1:13" x14ac:dyDescent="0.25">
      <c r="A1508" t="s">
        <v>3980</v>
      </c>
      <c r="B1508">
        <v>435845</v>
      </c>
      <c r="C1508">
        <v>5876075</v>
      </c>
      <c r="D1508">
        <v>21</v>
      </c>
      <c r="E1508" t="s">
        <v>15</v>
      </c>
      <c r="F1508" t="s">
        <v>3981</v>
      </c>
      <c r="G1508">
        <v>1</v>
      </c>
      <c r="H1508" t="s">
        <v>3982</v>
      </c>
      <c r="I1508" t="s">
        <v>195</v>
      </c>
      <c r="J1508" t="s">
        <v>2247</v>
      </c>
      <c r="K1508" t="s">
        <v>20</v>
      </c>
      <c r="L1508" t="s">
        <v>3983</v>
      </c>
      <c r="M1508" s="3" t="str">
        <f>HYPERLINK("..\..\Imagery\ScannedPhotos\1984\CG84-317.jpg")</f>
        <v>..\..\Imagery\ScannedPhotos\1984\CG84-317.jpg</v>
      </c>
    </row>
    <row r="1509" spans="1:13" x14ac:dyDescent="0.25">
      <c r="A1509" t="s">
        <v>3984</v>
      </c>
      <c r="B1509">
        <v>474810</v>
      </c>
      <c r="C1509">
        <v>6000371</v>
      </c>
      <c r="D1509">
        <v>21</v>
      </c>
      <c r="E1509" t="s">
        <v>15</v>
      </c>
      <c r="F1509" t="s">
        <v>3985</v>
      </c>
      <c r="G1509">
        <v>1</v>
      </c>
      <c r="H1509" t="s">
        <v>1326</v>
      </c>
      <c r="I1509" t="s">
        <v>132</v>
      </c>
      <c r="J1509" t="s">
        <v>95</v>
      </c>
      <c r="K1509" t="s">
        <v>20</v>
      </c>
      <c r="L1509" t="s">
        <v>3986</v>
      </c>
      <c r="M1509" s="3" t="str">
        <f>HYPERLINK("..\..\Imagery\ScannedPhotos\1980\CG80-391.jpg")</f>
        <v>..\..\Imagery\ScannedPhotos\1980\CG80-391.jpg</v>
      </c>
    </row>
    <row r="1510" spans="1:13" x14ac:dyDescent="0.25">
      <c r="A1510" t="s">
        <v>3987</v>
      </c>
      <c r="B1510">
        <v>473895</v>
      </c>
      <c r="C1510">
        <v>5999982</v>
      </c>
      <c r="D1510">
        <v>21</v>
      </c>
      <c r="E1510" t="s">
        <v>15</v>
      </c>
      <c r="F1510" t="s">
        <v>3988</v>
      </c>
      <c r="G1510">
        <v>1</v>
      </c>
      <c r="H1510" t="s">
        <v>1326</v>
      </c>
      <c r="I1510" t="s">
        <v>129</v>
      </c>
      <c r="J1510" t="s">
        <v>95</v>
      </c>
      <c r="K1510" t="s">
        <v>20</v>
      </c>
      <c r="L1510" t="s">
        <v>3989</v>
      </c>
      <c r="M1510" s="3" t="str">
        <f>HYPERLINK("..\..\Imagery\ScannedPhotos\1980\CG80-393.jpg")</f>
        <v>..\..\Imagery\ScannedPhotos\1980\CG80-393.jpg</v>
      </c>
    </row>
    <row r="1511" spans="1:13" x14ac:dyDescent="0.25">
      <c r="A1511" t="s">
        <v>3990</v>
      </c>
      <c r="B1511">
        <v>473939</v>
      </c>
      <c r="C1511">
        <v>5999314</v>
      </c>
      <c r="D1511">
        <v>21</v>
      </c>
      <c r="E1511" t="s">
        <v>15</v>
      </c>
      <c r="F1511" t="s">
        <v>3991</v>
      </c>
      <c r="G1511">
        <v>1</v>
      </c>
      <c r="H1511" t="s">
        <v>1326</v>
      </c>
      <c r="I1511" t="s">
        <v>143</v>
      </c>
      <c r="J1511" t="s">
        <v>95</v>
      </c>
      <c r="K1511" t="s">
        <v>20</v>
      </c>
      <c r="L1511" t="s">
        <v>3992</v>
      </c>
      <c r="M1511" s="3" t="str">
        <f>HYPERLINK("..\..\Imagery\ScannedPhotos\1980\CG80-394.jpg")</f>
        <v>..\..\Imagery\ScannedPhotos\1980\CG80-394.jpg</v>
      </c>
    </row>
    <row r="1512" spans="1:13" x14ac:dyDescent="0.25">
      <c r="A1512" t="s">
        <v>3993</v>
      </c>
      <c r="B1512">
        <v>412381</v>
      </c>
      <c r="C1512">
        <v>5986534</v>
      </c>
      <c r="D1512">
        <v>21</v>
      </c>
      <c r="E1512" t="s">
        <v>15</v>
      </c>
      <c r="F1512" t="s">
        <v>3994</v>
      </c>
      <c r="G1512">
        <v>6</v>
      </c>
      <c r="H1512" t="s">
        <v>268</v>
      </c>
      <c r="I1512" t="s">
        <v>114</v>
      </c>
      <c r="J1512" t="s">
        <v>269</v>
      </c>
      <c r="K1512" t="s">
        <v>56</v>
      </c>
      <c r="L1512" t="s">
        <v>3995</v>
      </c>
      <c r="M1512" s="3" t="str">
        <f>HYPERLINK("..\..\Imagery\ScannedPhotos\1980\CG80-422.3.jpg")</f>
        <v>..\..\Imagery\ScannedPhotos\1980\CG80-422.3.jpg</v>
      </c>
    </row>
    <row r="1513" spans="1:13" x14ac:dyDescent="0.25">
      <c r="A1513" t="s">
        <v>3993</v>
      </c>
      <c r="B1513">
        <v>412381</v>
      </c>
      <c r="C1513">
        <v>5986534</v>
      </c>
      <c r="D1513">
        <v>21</v>
      </c>
      <c r="E1513" t="s">
        <v>15</v>
      </c>
      <c r="F1513" t="s">
        <v>3996</v>
      </c>
      <c r="G1513">
        <v>6</v>
      </c>
      <c r="H1513" t="s">
        <v>268</v>
      </c>
      <c r="I1513" t="s">
        <v>122</v>
      </c>
      <c r="J1513" t="s">
        <v>269</v>
      </c>
      <c r="K1513" t="s">
        <v>56</v>
      </c>
      <c r="L1513" t="s">
        <v>3995</v>
      </c>
      <c r="M1513" s="3" t="str">
        <f>HYPERLINK("..\..\Imagery\ScannedPhotos\1980\CG80-422.5.jpg")</f>
        <v>..\..\Imagery\ScannedPhotos\1980\CG80-422.5.jpg</v>
      </c>
    </row>
    <row r="1514" spans="1:13" x14ac:dyDescent="0.25">
      <c r="A1514" t="s">
        <v>3993</v>
      </c>
      <c r="B1514">
        <v>412381</v>
      </c>
      <c r="C1514">
        <v>5986534</v>
      </c>
      <c r="D1514">
        <v>21</v>
      </c>
      <c r="E1514" t="s">
        <v>15</v>
      </c>
      <c r="F1514" t="s">
        <v>3997</v>
      </c>
      <c r="G1514">
        <v>6</v>
      </c>
      <c r="H1514" t="s">
        <v>268</v>
      </c>
      <c r="I1514" t="s">
        <v>119</v>
      </c>
      <c r="J1514" t="s">
        <v>269</v>
      </c>
      <c r="K1514" t="s">
        <v>56</v>
      </c>
      <c r="L1514" t="s">
        <v>3995</v>
      </c>
      <c r="M1514" s="3" t="str">
        <f>HYPERLINK("..\..\Imagery\ScannedPhotos\1980\CG80-422.4.jpg")</f>
        <v>..\..\Imagery\ScannedPhotos\1980\CG80-422.4.jpg</v>
      </c>
    </row>
    <row r="1515" spans="1:13" x14ac:dyDescent="0.25">
      <c r="A1515" t="s">
        <v>3993</v>
      </c>
      <c r="B1515">
        <v>412381</v>
      </c>
      <c r="C1515">
        <v>5986534</v>
      </c>
      <c r="D1515">
        <v>21</v>
      </c>
      <c r="E1515" t="s">
        <v>15</v>
      </c>
      <c r="F1515" t="s">
        <v>3998</v>
      </c>
      <c r="G1515">
        <v>6</v>
      </c>
      <c r="H1515" t="s">
        <v>268</v>
      </c>
      <c r="I1515" t="s">
        <v>30</v>
      </c>
      <c r="J1515" t="s">
        <v>269</v>
      </c>
      <c r="K1515" t="s">
        <v>56</v>
      </c>
      <c r="L1515" t="s">
        <v>3995</v>
      </c>
      <c r="M1515" s="3" t="str">
        <f>HYPERLINK("..\..\Imagery\ScannedPhotos\1980\CG80-422.2.jpg")</f>
        <v>..\..\Imagery\ScannedPhotos\1980\CG80-422.2.jpg</v>
      </c>
    </row>
    <row r="1516" spans="1:13" x14ac:dyDescent="0.25">
      <c r="A1516" t="s">
        <v>2043</v>
      </c>
      <c r="B1516">
        <v>577604</v>
      </c>
      <c r="C1516">
        <v>5882090</v>
      </c>
      <c r="D1516">
        <v>21</v>
      </c>
      <c r="E1516" t="s">
        <v>15</v>
      </c>
      <c r="F1516" t="s">
        <v>3999</v>
      </c>
      <c r="G1516">
        <v>5</v>
      </c>
      <c r="H1516" t="s">
        <v>1507</v>
      </c>
      <c r="I1516" t="s">
        <v>304</v>
      </c>
      <c r="J1516" t="s">
        <v>1508</v>
      </c>
      <c r="K1516" t="s">
        <v>56</v>
      </c>
      <c r="L1516" t="s">
        <v>2045</v>
      </c>
      <c r="M1516" s="3" t="str">
        <f>HYPERLINK("..\..\Imagery\ScannedPhotos\1985\GM85-484.2.jpg")</f>
        <v>..\..\Imagery\ScannedPhotos\1985\GM85-484.2.jpg</v>
      </c>
    </row>
    <row r="1517" spans="1:13" x14ac:dyDescent="0.25">
      <c r="A1517" t="s">
        <v>4000</v>
      </c>
      <c r="B1517">
        <v>450131</v>
      </c>
      <c r="C1517">
        <v>5904302</v>
      </c>
      <c r="D1517">
        <v>21</v>
      </c>
      <c r="E1517" t="s">
        <v>15</v>
      </c>
      <c r="F1517" t="s">
        <v>4001</v>
      </c>
      <c r="G1517">
        <v>1</v>
      </c>
      <c r="H1517" t="s">
        <v>1333</v>
      </c>
      <c r="I1517" t="s">
        <v>119</v>
      </c>
      <c r="J1517" t="s">
        <v>1334</v>
      </c>
      <c r="K1517" t="s">
        <v>20</v>
      </c>
      <c r="L1517" t="s">
        <v>4002</v>
      </c>
      <c r="M1517" s="3" t="str">
        <f>HYPERLINK("..\..\Imagery\ScannedPhotos\1984\CG84-168.jpg")</f>
        <v>..\..\Imagery\ScannedPhotos\1984\CG84-168.jpg</v>
      </c>
    </row>
    <row r="1518" spans="1:13" x14ac:dyDescent="0.25">
      <c r="A1518" t="s">
        <v>4003</v>
      </c>
      <c r="B1518">
        <v>586751</v>
      </c>
      <c r="C1518">
        <v>5769774</v>
      </c>
      <c r="D1518">
        <v>21</v>
      </c>
      <c r="E1518" t="s">
        <v>15</v>
      </c>
      <c r="F1518" t="s">
        <v>4004</v>
      </c>
      <c r="G1518">
        <v>1</v>
      </c>
      <c r="H1518" t="s">
        <v>34</v>
      </c>
      <c r="I1518" t="s">
        <v>114</v>
      </c>
      <c r="J1518" t="s">
        <v>36</v>
      </c>
      <c r="K1518" t="s">
        <v>20</v>
      </c>
      <c r="L1518" t="s">
        <v>4005</v>
      </c>
      <c r="M1518" s="3" t="str">
        <f>HYPERLINK("..\..\Imagery\ScannedPhotos\1987\CG87-485.jpg")</f>
        <v>..\..\Imagery\ScannedPhotos\1987\CG87-485.jpg</v>
      </c>
    </row>
    <row r="1519" spans="1:13" x14ac:dyDescent="0.25">
      <c r="A1519" t="s">
        <v>4006</v>
      </c>
      <c r="B1519">
        <v>499025</v>
      </c>
      <c r="C1519">
        <v>5791150</v>
      </c>
      <c r="D1519">
        <v>21</v>
      </c>
      <c r="E1519" t="s">
        <v>15</v>
      </c>
      <c r="F1519" t="s">
        <v>4007</v>
      </c>
      <c r="G1519">
        <v>3</v>
      </c>
      <c r="H1519" t="s">
        <v>1095</v>
      </c>
      <c r="I1519" t="s">
        <v>119</v>
      </c>
      <c r="J1519" t="s">
        <v>1096</v>
      </c>
      <c r="K1519" t="s">
        <v>20</v>
      </c>
      <c r="L1519" t="s">
        <v>3150</v>
      </c>
      <c r="M1519" s="3" t="str">
        <f>HYPERLINK("..\..\Imagery\ScannedPhotos\1992\VN92-072.1.jpg")</f>
        <v>..\..\Imagery\ScannedPhotos\1992\VN92-072.1.jpg</v>
      </c>
    </row>
    <row r="1520" spans="1:13" x14ac:dyDescent="0.25">
      <c r="A1520" t="s">
        <v>4006</v>
      </c>
      <c r="B1520">
        <v>499025</v>
      </c>
      <c r="C1520">
        <v>5791150</v>
      </c>
      <c r="D1520">
        <v>21</v>
      </c>
      <c r="E1520" t="s">
        <v>15</v>
      </c>
      <c r="F1520" t="s">
        <v>4008</v>
      </c>
      <c r="G1520">
        <v>3</v>
      </c>
      <c r="H1520" t="s">
        <v>1095</v>
      </c>
      <c r="I1520" t="s">
        <v>122</v>
      </c>
      <c r="J1520" t="s">
        <v>1096</v>
      </c>
      <c r="K1520" t="s">
        <v>20</v>
      </c>
      <c r="L1520" t="s">
        <v>3150</v>
      </c>
      <c r="M1520" s="3" t="str">
        <f>HYPERLINK("..\..\Imagery\ScannedPhotos\1992\VN92-072.2.jpg")</f>
        <v>..\..\Imagery\ScannedPhotos\1992\VN92-072.2.jpg</v>
      </c>
    </row>
    <row r="1521" spans="1:13" x14ac:dyDescent="0.25">
      <c r="A1521" t="s">
        <v>4006</v>
      </c>
      <c r="B1521">
        <v>499025</v>
      </c>
      <c r="C1521">
        <v>5791150</v>
      </c>
      <c r="D1521">
        <v>21</v>
      </c>
      <c r="E1521" t="s">
        <v>15</v>
      </c>
      <c r="F1521" t="s">
        <v>4009</v>
      </c>
      <c r="G1521">
        <v>3</v>
      </c>
      <c r="H1521" t="s">
        <v>1095</v>
      </c>
      <c r="I1521" t="s">
        <v>126</v>
      </c>
      <c r="J1521" t="s">
        <v>1096</v>
      </c>
      <c r="K1521" t="s">
        <v>20</v>
      </c>
      <c r="L1521" t="s">
        <v>4010</v>
      </c>
      <c r="M1521" s="3" t="str">
        <f>HYPERLINK("..\..\Imagery\ScannedPhotos\1992\VN92-072.3.jpg")</f>
        <v>..\..\Imagery\ScannedPhotos\1992\VN92-072.3.jpg</v>
      </c>
    </row>
    <row r="1522" spans="1:13" x14ac:dyDescent="0.25">
      <c r="A1522" t="s">
        <v>3134</v>
      </c>
      <c r="B1522">
        <v>481685</v>
      </c>
      <c r="C1522">
        <v>5920666</v>
      </c>
      <c r="D1522">
        <v>21</v>
      </c>
      <c r="E1522" t="s">
        <v>15</v>
      </c>
      <c r="F1522" t="s">
        <v>4011</v>
      </c>
      <c r="G1522">
        <v>16</v>
      </c>
      <c r="H1522" t="s">
        <v>2895</v>
      </c>
      <c r="I1522" t="s">
        <v>222</v>
      </c>
      <c r="J1522" t="s">
        <v>2896</v>
      </c>
      <c r="K1522" t="s">
        <v>535</v>
      </c>
      <c r="L1522" t="s">
        <v>4012</v>
      </c>
      <c r="M1522" s="3" t="str">
        <f>HYPERLINK("..\..\Imagery\ScannedPhotos\2004\CG04-286.11.jpg")</f>
        <v>..\..\Imagery\ScannedPhotos\2004\CG04-286.11.jpg</v>
      </c>
    </row>
    <row r="1523" spans="1:13" x14ac:dyDescent="0.25">
      <c r="A1523" t="s">
        <v>3134</v>
      </c>
      <c r="B1523">
        <v>481685</v>
      </c>
      <c r="C1523">
        <v>5920666</v>
      </c>
      <c r="D1523">
        <v>21</v>
      </c>
      <c r="E1523" t="s">
        <v>15</v>
      </c>
      <c r="F1523" t="s">
        <v>4013</v>
      </c>
      <c r="G1523">
        <v>16</v>
      </c>
      <c r="H1523" t="s">
        <v>2895</v>
      </c>
      <c r="I1523" t="s">
        <v>214</v>
      </c>
      <c r="J1523" t="s">
        <v>2896</v>
      </c>
      <c r="K1523" t="s">
        <v>535</v>
      </c>
      <c r="L1523" t="s">
        <v>4012</v>
      </c>
      <c r="M1523" s="3" t="str">
        <f>HYPERLINK("..\..\Imagery\ScannedPhotos\2004\CG04-286.10.jpg")</f>
        <v>..\..\Imagery\ScannedPhotos\2004\CG04-286.10.jpg</v>
      </c>
    </row>
    <row r="1524" spans="1:13" x14ac:dyDescent="0.25">
      <c r="A1524" t="s">
        <v>2434</v>
      </c>
      <c r="B1524">
        <v>467711</v>
      </c>
      <c r="C1524">
        <v>6005520</v>
      </c>
      <c r="D1524">
        <v>21</v>
      </c>
      <c r="E1524" t="s">
        <v>15</v>
      </c>
      <c r="F1524" t="s">
        <v>4014</v>
      </c>
      <c r="G1524">
        <v>2</v>
      </c>
      <c r="H1524" t="s">
        <v>1636</v>
      </c>
      <c r="I1524" t="s">
        <v>108</v>
      </c>
      <c r="J1524" t="s">
        <v>652</v>
      </c>
      <c r="K1524" t="s">
        <v>20</v>
      </c>
      <c r="L1524" t="s">
        <v>4015</v>
      </c>
      <c r="M1524" s="3" t="str">
        <f>HYPERLINK("..\..\Imagery\ScannedPhotos\1980\CG80-322.2.jpg")</f>
        <v>..\..\Imagery\ScannedPhotos\1980\CG80-322.2.jpg</v>
      </c>
    </row>
    <row r="1525" spans="1:13" x14ac:dyDescent="0.25">
      <c r="A1525" t="s">
        <v>4016</v>
      </c>
      <c r="B1525">
        <v>491182</v>
      </c>
      <c r="C1525">
        <v>5831928</v>
      </c>
      <c r="D1525">
        <v>21</v>
      </c>
      <c r="E1525" t="s">
        <v>15</v>
      </c>
      <c r="F1525" t="s">
        <v>4017</v>
      </c>
      <c r="G1525">
        <v>8</v>
      </c>
      <c r="H1525" t="s">
        <v>890</v>
      </c>
      <c r="I1525" t="s">
        <v>79</v>
      </c>
      <c r="J1525" t="s">
        <v>891</v>
      </c>
      <c r="K1525" t="s">
        <v>20</v>
      </c>
      <c r="L1525" t="s">
        <v>4018</v>
      </c>
      <c r="M1525" s="3" t="str">
        <f>HYPERLINK("..\..\Imagery\ScannedPhotos\1991\VN91-221.2.jpg")</f>
        <v>..\..\Imagery\ScannedPhotos\1991\VN91-221.2.jpg</v>
      </c>
    </row>
    <row r="1526" spans="1:13" x14ac:dyDescent="0.25">
      <c r="A1526" t="s">
        <v>4019</v>
      </c>
      <c r="B1526">
        <v>492165</v>
      </c>
      <c r="C1526">
        <v>5831935</v>
      </c>
      <c r="D1526">
        <v>21</v>
      </c>
      <c r="E1526" t="s">
        <v>15</v>
      </c>
      <c r="F1526" t="s">
        <v>4020</v>
      </c>
      <c r="G1526">
        <v>4</v>
      </c>
      <c r="H1526" t="s">
        <v>890</v>
      </c>
      <c r="I1526" t="s">
        <v>214</v>
      </c>
      <c r="J1526" t="s">
        <v>891</v>
      </c>
      <c r="K1526" t="s">
        <v>20</v>
      </c>
      <c r="L1526" t="s">
        <v>4021</v>
      </c>
      <c r="M1526" s="3" t="str">
        <f>HYPERLINK("..\..\Imagery\ScannedPhotos\1991\VN91-223.4.jpg")</f>
        <v>..\..\Imagery\ScannedPhotos\1991\VN91-223.4.jpg</v>
      </c>
    </row>
    <row r="1527" spans="1:13" x14ac:dyDescent="0.25">
      <c r="A1527" t="s">
        <v>4019</v>
      </c>
      <c r="B1527">
        <v>492165</v>
      </c>
      <c r="C1527">
        <v>5831935</v>
      </c>
      <c r="D1527">
        <v>21</v>
      </c>
      <c r="E1527" t="s">
        <v>15</v>
      </c>
      <c r="F1527" t="s">
        <v>4022</v>
      </c>
      <c r="G1527">
        <v>4</v>
      </c>
      <c r="H1527" t="s">
        <v>890</v>
      </c>
      <c r="I1527" t="s">
        <v>94</v>
      </c>
      <c r="J1527" t="s">
        <v>891</v>
      </c>
      <c r="K1527" t="s">
        <v>20</v>
      </c>
      <c r="L1527" t="s">
        <v>4023</v>
      </c>
      <c r="M1527" s="3" t="str">
        <f>HYPERLINK("..\..\Imagery\ScannedPhotos\1991\VN91-223.2.jpg")</f>
        <v>..\..\Imagery\ScannedPhotos\1991\VN91-223.2.jpg</v>
      </c>
    </row>
    <row r="1528" spans="1:13" x14ac:dyDescent="0.25">
      <c r="A1528" t="s">
        <v>4019</v>
      </c>
      <c r="B1528">
        <v>492165</v>
      </c>
      <c r="C1528">
        <v>5831935</v>
      </c>
      <c r="D1528">
        <v>21</v>
      </c>
      <c r="E1528" t="s">
        <v>15</v>
      </c>
      <c r="F1528" t="s">
        <v>4024</v>
      </c>
      <c r="G1528">
        <v>4</v>
      </c>
      <c r="H1528" t="s">
        <v>890</v>
      </c>
      <c r="I1528" t="s">
        <v>209</v>
      </c>
      <c r="J1528" t="s">
        <v>891</v>
      </c>
      <c r="K1528" t="s">
        <v>56</v>
      </c>
      <c r="L1528" t="s">
        <v>4025</v>
      </c>
      <c r="M1528" s="3" t="str">
        <f>HYPERLINK("..\..\Imagery\ScannedPhotos\1991\VN91-223.3.jpg")</f>
        <v>..\..\Imagery\ScannedPhotos\1991\VN91-223.3.jpg</v>
      </c>
    </row>
    <row r="1529" spans="1:13" x14ac:dyDescent="0.25">
      <c r="A1529" t="s">
        <v>4019</v>
      </c>
      <c r="B1529">
        <v>492165</v>
      </c>
      <c r="C1529">
        <v>5831935</v>
      </c>
      <c r="D1529">
        <v>21</v>
      </c>
      <c r="E1529" t="s">
        <v>15</v>
      </c>
      <c r="F1529" t="s">
        <v>4026</v>
      </c>
      <c r="G1529">
        <v>4</v>
      </c>
      <c r="H1529" t="s">
        <v>890</v>
      </c>
      <c r="I1529" t="s">
        <v>375</v>
      </c>
      <c r="J1529" t="s">
        <v>891</v>
      </c>
      <c r="K1529" t="s">
        <v>20</v>
      </c>
      <c r="L1529" t="s">
        <v>4027</v>
      </c>
      <c r="M1529" s="3" t="str">
        <f>HYPERLINK("..\..\Imagery\ScannedPhotos\1991\VN91-223.1.jpg")</f>
        <v>..\..\Imagery\ScannedPhotos\1991\VN91-223.1.jpg</v>
      </c>
    </row>
    <row r="1530" spans="1:13" x14ac:dyDescent="0.25">
      <c r="A1530" t="s">
        <v>4028</v>
      </c>
      <c r="B1530">
        <v>398588</v>
      </c>
      <c r="C1530">
        <v>5990466</v>
      </c>
      <c r="D1530">
        <v>21</v>
      </c>
      <c r="E1530" t="s">
        <v>15</v>
      </c>
      <c r="F1530" t="s">
        <v>4029</v>
      </c>
      <c r="G1530">
        <v>2</v>
      </c>
      <c r="H1530" t="s">
        <v>1133</v>
      </c>
      <c r="I1530" t="s">
        <v>418</v>
      </c>
      <c r="J1530" t="s">
        <v>623</v>
      </c>
      <c r="K1530" t="s">
        <v>20</v>
      </c>
      <c r="L1530" t="s">
        <v>4030</v>
      </c>
      <c r="M1530" s="3" t="str">
        <f>HYPERLINK("..\..\Imagery\ScannedPhotos\1980\CG80-191.1.jpg")</f>
        <v>..\..\Imagery\ScannedPhotos\1980\CG80-191.1.jpg</v>
      </c>
    </row>
    <row r="1531" spans="1:13" x14ac:dyDescent="0.25">
      <c r="A1531" t="s">
        <v>4031</v>
      </c>
      <c r="B1531">
        <v>373843</v>
      </c>
      <c r="C1531">
        <v>5784611</v>
      </c>
      <c r="D1531">
        <v>21</v>
      </c>
      <c r="E1531" t="s">
        <v>15</v>
      </c>
      <c r="F1531" t="s">
        <v>4032</v>
      </c>
      <c r="G1531">
        <v>4</v>
      </c>
      <c r="H1531" t="s">
        <v>4033</v>
      </c>
      <c r="I1531" t="s">
        <v>132</v>
      </c>
      <c r="J1531" t="s">
        <v>4034</v>
      </c>
      <c r="K1531" t="s">
        <v>56</v>
      </c>
      <c r="L1531" t="s">
        <v>4035</v>
      </c>
      <c r="M1531" s="3" t="str">
        <f>HYPERLINK("..\..\Imagery\ScannedPhotos\1999\CG99-254.4.jpg")</f>
        <v>..\..\Imagery\ScannedPhotos\1999\CG99-254.4.jpg</v>
      </c>
    </row>
    <row r="1532" spans="1:13" x14ac:dyDescent="0.25">
      <c r="A1532" t="s">
        <v>4031</v>
      </c>
      <c r="B1532">
        <v>373843</v>
      </c>
      <c r="C1532">
        <v>5784611</v>
      </c>
      <c r="D1532">
        <v>21</v>
      </c>
      <c r="E1532" t="s">
        <v>15</v>
      </c>
      <c r="F1532" t="s">
        <v>4036</v>
      </c>
      <c r="G1532">
        <v>4</v>
      </c>
      <c r="H1532" t="s">
        <v>4033</v>
      </c>
      <c r="I1532" t="s">
        <v>108</v>
      </c>
      <c r="J1532" t="s">
        <v>4034</v>
      </c>
      <c r="K1532" t="s">
        <v>56</v>
      </c>
      <c r="L1532" t="s">
        <v>4037</v>
      </c>
      <c r="M1532" s="3" t="str">
        <f>HYPERLINK("..\..\Imagery\ScannedPhotos\1999\CG99-254.3.jpg")</f>
        <v>..\..\Imagery\ScannedPhotos\1999\CG99-254.3.jpg</v>
      </c>
    </row>
    <row r="1533" spans="1:13" x14ac:dyDescent="0.25">
      <c r="A1533" t="s">
        <v>4031</v>
      </c>
      <c r="B1533">
        <v>373843</v>
      </c>
      <c r="C1533">
        <v>5784611</v>
      </c>
      <c r="D1533">
        <v>21</v>
      </c>
      <c r="E1533" t="s">
        <v>15</v>
      </c>
      <c r="F1533" t="s">
        <v>4038</v>
      </c>
      <c r="G1533">
        <v>4</v>
      </c>
      <c r="H1533" t="s">
        <v>4033</v>
      </c>
      <c r="I1533" t="s">
        <v>122</v>
      </c>
      <c r="J1533" t="s">
        <v>4034</v>
      </c>
      <c r="K1533" t="s">
        <v>20</v>
      </c>
      <c r="L1533" t="s">
        <v>4039</v>
      </c>
      <c r="M1533" s="3" t="str">
        <f>HYPERLINK("..\..\Imagery\ScannedPhotos\1999\CG99-254.1.jpg")</f>
        <v>..\..\Imagery\ScannedPhotos\1999\CG99-254.1.jpg</v>
      </c>
    </row>
    <row r="1534" spans="1:13" x14ac:dyDescent="0.25">
      <c r="A1534" t="s">
        <v>4040</v>
      </c>
      <c r="B1534">
        <v>582608</v>
      </c>
      <c r="C1534">
        <v>5820478</v>
      </c>
      <c r="D1534">
        <v>21</v>
      </c>
      <c r="E1534" t="s">
        <v>15</v>
      </c>
      <c r="F1534" t="s">
        <v>4041</v>
      </c>
      <c r="G1534">
        <v>4</v>
      </c>
      <c r="H1534" t="s">
        <v>3201</v>
      </c>
      <c r="I1534" t="s">
        <v>69</v>
      </c>
      <c r="J1534" t="s">
        <v>3202</v>
      </c>
      <c r="K1534" t="s">
        <v>56</v>
      </c>
      <c r="L1534" t="s">
        <v>4042</v>
      </c>
      <c r="M1534" s="3" t="str">
        <f>HYPERLINK("..\..\Imagery\ScannedPhotos\1986\SN86-406.2.jpg")</f>
        <v>..\..\Imagery\ScannedPhotos\1986\SN86-406.2.jpg</v>
      </c>
    </row>
    <row r="1535" spans="1:13" x14ac:dyDescent="0.25">
      <c r="A1535" t="s">
        <v>4040</v>
      </c>
      <c r="B1535">
        <v>582608</v>
      </c>
      <c r="C1535">
        <v>5820478</v>
      </c>
      <c r="D1535">
        <v>21</v>
      </c>
      <c r="E1535" t="s">
        <v>15</v>
      </c>
      <c r="F1535" t="s">
        <v>4043</v>
      </c>
      <c r="G1535">
        <v>4</v>
      </c>
      <c r="H1535" t="s">
        <v>3201</v>
      </c>
      <c r="I1535" t="s">
        <v>74</v>
      </c>
      <c r="J1535" t="s">
        <v>3202</v>
      </c>
      <c r="K1535" t="s">
        <v>20</v>
      </c>
      <c r="L1535" t="s">
        <v>4042</v>
      </c>
      <c r="M1535" s="3" t="str">
        <f>HYPERLINK("..\..\Imagery\ScannedPhotos\1986\SN86-406.3.jpg")</f>
        <v>..\..\Imagery\ScannedPhotos\1986\SN86-406.3.jpg</v>
      </c>
    </row>
    <row r="1536" spans="1:13" x14ac:dyDescent="0.25">
      <c r="A1536" t="s">
        <v>4040</v>
      </c>
      <c r="B1536">
        <v>582608</v>
      </c>
      <c r="C1536">
        <v>5820478</v>
      </c>
      <c r="D1536">
        <v>21</v>
      </c>
      <c r="E1536" t="s">
        <v>15</v>
      </c>
      <c r="F1536" t="s">
        <v>4044</v>
      </c>
      <c r="G1536">
        <v>4</v>
      </c>
      <c r="H1536" t="s">
        <v>3201</v>
      </c>
      <c r="I1536" t="s">
        <v>41</v>
      </c>
      <c r="J1536" t="s">
        <v>3202</v>
      </c>
      <c r="K1536" t="s">
        <v>20</v>
      </c>
      <c r="L1536" t="s">
        <v>4045</v>
      </c>
      <c r="M1536" s="3" t="str">
        <f>HYPERLINK("..\..\Imagery\ScannedPhotos\1986\SN86-406.4.jpg")</f>
        <v>..\..\Imagery\ScannedPhotos\1986\SN86-406.4.jpg</v>
      </c>
    </row>
    <row r="1537" spans="1:13" x14ac:dyDescent="0.25">
      <c r="A1537" t="s">
        <v>4046</v>
      </c>
      <c r="B1537">
        <v>387500</v>
      </c>
      <c r="C1537">
        <v>6097974</v>
      </c>
      <c r="D1537">
        <v>21</v>
      </c>
      <c r="E1537" t="s">
        <v>15</v>
      </c>
      <c r="F1537" t="s">
        <v>4047</v>
      </c>
      <c r="G1537">
        <v>1</v>
      </c>
      <c r="H1537" t="s">
        <v>4048</v>
      </c>
      <c r="I1537" t="s">
        <v>137</v>
      </c>
      <c r="J1537" t="s">
        <v>355</v>
      </c>
      <c r="K1537" t="s">
        <v>20</v>
      </c>
      <c r="L1537" t="s">
        <v>4049</v>
      </c>
      <c r="M1537" s="3" t="str">
        <f>HYPERLINK("..\..\Imagery\ScannedPhotos\1979\AD79-141.jpg")</f>
        <v>..\..\Imagery\ScannedPhotos\1979\AD79-141.jpg</v>
      </c>
    </row>
    <row r="1538" spans="1:13" x14ac:dyDescent="0.25">
      <c r="A1538" t="s">
        <v>4050</v>
      </c>
      <c r="B1538">
        <v>387437</v>
      </c>
      <c r="C1538">
        <v>6093804</v>
      </c>
      <c r="D1538">
        <v>21</v>
      </c>
      <c r="E1538" t="s">
        <v>15</v>
      </c>
      <c r="F1538" t="s">
        <v>4051</v>
      </c>
      <c r="G1538">
        <v>4</v>
      </c>
      <c r="H1538" t="s">
        <v>4048</v>
      </c>
      <c r="I1538" t="s">
        <v>74</v>
      </c>
      <c r="J1538" t="s">
        <v>355</v>
      </c>
      <c r="K1538" t="s">
        <v>20</v>
      </c>
      <c r="L1538" t="s">
        <v>4052</v>
      </c>
      <c r="M1538" s="3" t="str">
        <f>HYPERLINK("..\..\Imagery\ScannedPhotos\1979\AD79-145.4.jpg")</f>
        <v>..\..\Imagery\ScannedPhotos\1979\AD79-145.4.jpg</v>
      </c>
    </row>
    <row r="1539" spans="1:13" x14ac:dyDescent="0.25">
      <c r="A1539" t="s">
        <v>4050</v>
      </c>
      <c r="B1539">
        <v>387437</v>
      </c>
      <c r="C1539">
        <v>6093804</v>
      </c>
      <c r="D1539">
        <v>21</v>
      </c>
      <c r="E1539" t="s">
        <v>15</v>
      </c>
      <c r="F1539" t="s">
        <v>4053</v>
      </c>
      <c r="G1539">
        <v>4</v>
      </c>
      <c r="H1539" t="s">
        <v>4048</v>
      </c>
      <c r="I1539" t="s">
        <v>18</v>
      </c>
      <c r="J1539" t="s">
        <v>355</v>
      </c>
      <c r="K1539" t="s">
        <v>20</v>
      </c>
      <c r="L1539" t="s">
        <v>4054</v>
      </c>
      <c r="M1539" s="3" t="str">
        <f>HYPERLINK("..\..\Imagery\ScannedPhotos\1979\AD79-145.1.jpg")</f>
        <v>..\..\Imagery\ScannedPhotos\1979\AD79-145.1.jpg</v>
      </c>
    </row>
    <row r="1540" spans="1:13" x14ac:dyDescent="0.25">
      <c r="A1540" t="s">
        <v>4050</v>
      </c>
      <c r="B1540">
        <v>387437</v>
      </c>
      <c r="C1540">
        <v>6093804</v>
      </c>
      <c r="D1540">
        <v>21</v>
      </c>
      <c r="E1540" t="s">
        <v>15</v>
      </c>
      <c r="F1540" t="s">
        <v>4055</v>
      </c>
      <c r="G1540">
        <v>4</v>
      </c>
      <c r="H1540" t="s">
        <v>4048</v>
      </c>
      <c r="I1540" t="s">
        <v>35</v>
      </c>
      <c r="J1540" t="s">
        <v>355</v>
      </c>
      <c r="K1540" t="s">
        <v>56</v>
      </c>
      <c r="L1540" t="s">
        <v>4052</v>
      </c>
      <c r="M1540" s="3" t="str">
        <f>HYPERLINK("..\..\Imagery\ScannedPhotos\1979\AD79-145.2.jpg")</f>
        <v>..\..\Imagery\ScannedPhotos\1979\AD79-145.2.jpg</v>
      </c>
    </row>
    <row r="1541" spans="1:13" x14ac:dyDescent="0.25">
      <c r="A1541" t="s">
        <v>4056</v>
      </c>
      <c r="B1541">
        <v>483784</v>
      </c>
      <c r="C1541">
        <v>5916786</v>
      </c>
      <c r="D1541">
        <v>21</v>
      </c>
      <c r="E1541" t="s">
        <v>15</v>
      </c>
      <c r="F1541" t="s">
        <v>4057</v>
      </c>
      <c r="G1541">
        <v>1</v>
      </c>
      <c r="H1541" t="s">
        <v>4058</v>
      </c>
      <c r="I1541" t="s">
        <v>386</v>
      </c>
      <c r="J1541" t="s">
        <v>2247</v>
      </c>
      <c r="K1541" t="s">
        <v>20</v>
      </c>
      <c r="L1541" t="s">
        <v>4059</v>
      </c>
      <c r="M1541" s="3" t="str">
        <f>HYPERLINK("..\..\Imagery\ScannedPhotos\1984\VN84-341.jpg")</f>
        <v>..\..\Imagery\ScannedPhotos\1984\VN84-341.jpg</v>
      </c>
    </row>
    <row r="1542" spans="1:13" x14ac:dyDescent="0.25">
      <c r="A1542" t="s">
        <v>4060</v>
      </c>
      <c r="B1542">
        <v>484275</v>
      </c>
      <c r="C1542">
        <v>5912845</v>
      </c>
      <c r="D1542">
        <v>21</v>
      </c>
      <c r="E1542" t="s">
        <v>15</v>
      </c>
      <c r="F1542" t="s">
        <v>4061</v>
      </c>
      <c r="G1542">
        <v>2</v>
      </c>
      <c r="H1542" t="s">
        <v>4058</v>
      </c>
      <c r="I1542" t="s">
        <v>214</v>
      </c>
      <c r="J1542" t="s">
        <v>2247</v>
      </c>
      <c r="K1542" t="s">
        <v>20</v>
      </c>
      <c r="L1542" t="s">
        <v>4059</v>
      </c>
      <c r="M1542" s="3" t="str">
        <f>HYPERLINK("..\..\Imagery\ScannedPhotos\1984\VN84-348.2.jpg")</f>
        <v>..\..\Imagery\ScannedPhotos\1984\VN84-348.2.jpg</v>
      </c>
    </row>
    <row r="1543" spans="1:13" x14ac:dyDescent="0.25">
      <c r="A1543" t="s">
        <v>4062</v>
      </c>
      <c r="B1543">
        <v>510061</v>
      </c>
      <c r="C1543">
        <v>5933273</v>
      </c>
      <c r="D1543">
        <v>21</v>
      </c>
      <c r="E1543" t="s">
        <v>15</v>
      </c>
      <c r="F1543" t="s">
        <v>4063</v>
      </c>
      <c r="G1543">
        <v>2</v>
      </c>
      <c r="K1543" t="s">
        <v>56</v>
      </c>
      <c r="L1543" t="s">
        <v>4064</v>
      </c>
      <c r="M1543" s="3" t="str">
        <f>HYPERLINK("..\..\Imagery\ScannedPhotos\2004\CG04-265.1.jpg")</f>
        <v>..\..\Imagery\ScannedPhotos\2004\CG04-265.1.jpg</v>
      </c>
    </row>
    <row r="1544" spans="1:13" x14ac:dyDescent="0.25">
      <c r="A1544" t="s">
        <v>4065</v>
      </c>
      <c r="B1544">
        <v>510184</v>
      </c>
      <c r="C1544">
        <v>5933142</v>
      </c>
      <c r="D1544">
        <v>21</v>
      </c>
      <c r="E1544" t="s">
        <v>15</v>
      </c>
      <c r="F1544" t="s">
        <v>4066</v>
      </c>
      <c r="G1544">
        <v>1</v>
      </c>
      <c r="K1544" t="s">
        <v>20</v>
      </c>
      <c r="L1544" t="s">
        <v>4067</v>
      </c>
      <c r="M1544" s="3" t="str">
        <f>HYPERLINK("..\..\Imagery\ScannedPhotos\2004\CG04-266.jpg")</f>
        <v>..\..\Imagery\ScannedPhotos\2004\CG04-266.jpg</v>
      </c>
    </row>
    <row r="1545" spans="1:13" x14ac:dyDescent="0.25">
      <c r="A1545" t="s">
        <v>4068</v>
      </c>
      <c r="B1545">
        <v>510577</v>
      </c>
      <c r="C1545">
        <v>5933288</v>
      </c>
      <c r="D1545">
        <v>21</v>
      </c>
      <c r="E1545" t="s">
        <v>15</v>
      </c>
      <c r="F1545" t="s">
        <v>4069</v>
      </c>
      <c r="G1545">
        <v>1</v>
      </c>
      <c r="K1545" t="s">
        <v>20</v>
      </c>
      <c r="L1545" t="s">
        <v>4070</v>
      </c>
      <c r="M1545" s="3" t="str">
        <f>HYPERLINK("..\..\Imagery\ScannedPhotos\2004\CG04-267.jpg")</f>
        <v>..\..\Imagery\ScannedPhotos\2004\CG04-267.jpg</v>
      </c>
    </row>
    <row r="1546" spans="1:13" x14ac:dyDescent="0.25">
      <c r="A1546" t="s">
        <v>4071</v>
      </c>
      <c r="B1546">
        <v>510901</v>
      </c>
      <c r="C1546">
        <v>5932396</v>
      </c>
      <c r="D1546">
        <v>21</v>
      </c>
      <c r="E1546" t="s">
        <v>15</v>
      </c>
      <c r="F1546" t="s">
        <v>4072</v>
      </c>
      <c r="G1546">
        <v>2</v>
      </c>
      <c r="K1546" t="s">
        <v>535</v>
      </c>
      <c r="L1546" t="s">
        <v>4073</v>
      </c>
      <c r="M1546" s="3" t="str">
        <f>HYPERLINK("..\..\Imagery\ScannedPhotos\2004\CG04-272.1.jpg")</f>
        <v>..\..\Imagery\ScannedPhotos\2004\CG04-272.1.jpg</v>
      </c>
    </row>
    <row r="1547" spans="1:13" x14ac:dyDescent="0.25">
      <c r="A1547" t="s">
        <v>4074</v>
      </c>
      <c r="B1547">
        <v>445850</v>
      </c>
      <c r="C1547">
        <v>5771550</v>
      </c>
      <c r="D1547">
        <v>21</v>
      </c>
      <c r="E1547" t="s">
        <v>15</v>
      </c>
      <c r="F1547" t="s">
        <v>4075</v>
      </c>
      <c r="G1547">
        <v>15</v>
      </c>
      <c r="H1547" t="s">
        <v>4076</v>
      </c>
      <c r="I1547" t="s">
        <v>52</v>
      </c>
      <c r="J1547" t="s">
        <v>905</v>
      </c>
      <c r="K1547" t="s">
        <v>20</v>
      </c>
      <c r="L1547" t="s">
        <v>4077</v>
      </c>
      <c r="M1547" s="3" t="str">
        <f>HYPERLINK("..\..\Imagery\ScannedPhotos\1992\VN92-197.12.jpg")</f>
        <v>..\..\Imagery\ScannedPhotos\1992\VN92-197.12.jpg</v>
      </c>
    </row>
    <row r="1548" spans="1:13" x14ac:dyDescent="0.25">
      <c r="A1548" t="s">
        <v>4078</v>
      </c>
      <c r="B1548">
        <v>578154</v>
      </c>
      <c r="C1548">
        <v>5767493</v>
      </c>
      <c r="D1548">
        <v>21</v>
      </c>
      <c r="E1548" t="s">
        <v>15</v>
      </c>
      <c r="F1548" t="s">
        <v>4079</v>
      </c>
      <c r="G1548">
        <v>3</v>
      </c>
      <c r="H1548" t="s">
        <v>2916</v>
      </c>
      <c r="I1548" t="s">
        <v>647</v>
      </c>
      <c r="J1548" t="s">
        <v>797</v>
      </c>
      <c r="K1548" t="s">
        <v>56</v>
      </c>
      <c r="L1548" t="s">
        <v>4080</v>
      </c>
      <c r="M1548" s="3" t="str">
        <f>HYPERLINK("..\..\Imagery\ScannedPhotos\1987\VN87-295.3.jpg")</f>
        <v>..\..\Imagery\ScannedPhotos\1987\VN87-295.3.jpg</v>
      </c>
    </row>
    <row r="1549" spans="1:13" x14ac:dyDescent="0.25">
      <c r="A1549" t="s">
        <v>4078</v>
      </c>
      <c r="B1549">
        <v>578154</v>
      </c>
      <c r="C1549">
        <v>5767493</v>
      </c>
      <c r="D1549">
        <v>21</v>
      </c>
      <c r="E1549" t="s">
        <v>15</v>
      </c>
      <c r="F1549" t="s">
        <v>4081</v>
      </c>
      <c r="G1549">
        <v>3</v>
      </c>
      <c r="H1549" t="s">
        <v>2916</v>
      </c>
      <c r="I1549" t="s">
        <v>360</v>
      </c>
      <c r="J1549" t="s">
        <v>797</v>
      </c>
      <c r="K1549" t="s">
        <v>56</v>
      </c>
      <c r="L1549" t="s">
        <v>4080</v>
      </c>
      <c r="M1549" s="3" t="str">
        <f>HYPERLINK("..\..\Imagery\ScannedPhotos\1987\VN87-295.2.jpg")</f>
        <v>..\..\Imagery\ScannedPhotos\1987\VN87-295.2.jpg</v>
      </c>
    </row>
    <row r="1550" spans="1:13" x14ac:dyDescent="0.25">
      <c r="A1550" t="s">
        <v>4078</v>
      </c>
      <c r="B1550">
        <v>578154</v>
      </c>
      <c r="C1550">
        <v>5767493</v>
      </c>
      <c r="D1550">
        <v>21</v>
      </c>
      <c r="E1550" t="s">
        <v>15</v>
      </c>
      <c r="F1550" t="s">
        <v>4082</v>
      </c>
      <c r="G1550">
        <v>3</v>
      </c>
      <c r="H1550" t="s">
        <v>2916</v>
      </c>
      <c r="I1550" t="s">
        <v>25</v>
      </c>
      <c r="J1550" t="s">
        <v>797</v>
      </c>
      <c r="K1550" t="s">
        <v>56</v>
      </c>
      <c r="L1550" t="s">
        <v>4083</v>
      </c>
      <c r="M1550" s="3" t="str">
        <f>HYPERLINK("..\..\Imagery\ScannedPhotos\1987\VN87-295.1.jpg")</f>
        <v>..\..\Imagery\ScannedPhotos\1987\VN87-295.1.jpg</v>
      </c>
    </row>
    <row r="1551" spans="1:13" x14ac:dyDescent="0.25">
      <c r="A1551" t="s">
        <v>4084</v>
      </c>
      <c r="B1551">
        <v>580028</v>
      </c>
      <c r="C1551">
        <v>5761811</v>
      </c>
      <c r="D1551">
        <v>21</v>
      </c>
      <c r="E1551" t="s">
        <v>15</v>
      </c>
      <c r="F1551" t="s">
        <v>4085</v>
      </c>
      <c r="G1551">
        <v>2</v>
      </c>
      <c r="H1551" t="s">
        <v>2916</v>
      </c>
      <c r="I1551" t="s">
        <v>30</v>
      </c>
      <c r="J1551" t="s">
        <v>797</v>
      </c>
      <c r="K1551" t="s">
        <v>20</v>
      </c>
      <c r="L1551" t="s">
        <v>4086</v>
      </c>
      <c r="M1551" s="3" t="str">
        <f>HYPERLINK("..\..\Imagery\ScannedPhotos\1987\VN87-319.1.jpg")</f>
        <v>..\..\Imagery\ScannedPhotos\1987\VN87-319.1.jpg</v>
      </c>
    </row>
    <row r="1552" spans="1:13" x14ac:dyDescent="0.25">
      <c r="A1552" t="s">
        <v>4087</v>
      </c>
      <c r="B1552">
        <v>421288</v>
      </c>
      <c r="C1552">
        <v>6079749</v>
      </c>
      <c r="D1552">
        <v>21</v>
      </c>
      <c r="E1552" t="s">
        <v>15</v>
      </c>
      <c r="F1552" t="s">
        <v>4088</v>
      </c>
      <c r="G1552">
        <v>1</v>
      </c>
      <c r="H1552" t="s">
        <v>1207</v>
      </c>
      <c r="I1552" t="s">
        <v>195</v>
      </c>
      <c r="J1552" t="s">
        <v>1208</v>
      </c>
      <c r="K1552" t="s">
        <v>20</v>
      </c>
      <c r="L1552" t="s">
        <v>4089</v>
      </c>
      <c r="M1552" s="3" t="str">
        <f>HYPERLINK("..\..\Imagery\ScannedPhotos\1979\CG79-081.jpg")</f>
        <v>..\..\Imagery\ScannedPhotos\1979\CG79-081.jpg</v>
      </c>
    </row>
    <row r="1553" spans="1:13" x14ac:dyDescent="0.25">
      <c r="A1553" t="s">
        <v>4090</v>
      </c>
      <c r="B1553">
        <v>421380</v>
      </c>
      <c r="C1553">
        <v>6078283</v>
      </c>
      <c r="D1553">
        <v>21</v>
      </c>
      <c r="E1553" t="s">
        <v>15</v>
      </c>
      <c r="F1553" t="s">
        <v>4091</v>
      </c>
      <c r="G1553">
        <v>1</v>
      </c>
      <c r="H1553" t="s">
        <v>1207</v>
      </c>
      <c r="I1553" t="s">
        <v>25</v>
      </c>
      <c r="J1553" t="s">
        <v>1208</v>
      </c>
      <c r="K1553" t="s">
        <v>20</v>
      </c>
      <c r="L1553" t="s">
        <v>4092</v>
      </c>
      <c r="M1553" s="3" t="str">
        <f>HYPERLINK("..\..\Imagery\ScannedPhotos\1979\CG79-083.jpg")</f>
        <v>..\..\Imagery\ScannedPhotos\1979\CG79-083.jpg</v>
      </c>
    </row>
    <row r="1554" spans="1:13" x14ac:dyDescent="0.25">
      <c r="A1554" t="s">
        <v>4093</v>
      </c>
      <c r="B1554">
        <v>421340</v>
      </c>
      <c r="C1554">
        <v>6077330</v>
      </c>
      <c r="D1554">
        <v>21</v>
      </c>
      <c r="E1554" t="s">
        <v>15</v>
      </c>
      <c r="F1554" t="s">
        <v>4094</v>
      </c>
      <c r="G1554">
        <v>1</v>
      </c>
      <c r="H1554" t="s">
        <v>1207</v>
      </c>
      <c r="I1554" t="s">
        <v>360</v>
      </c>
      <c r="J1554" t="s">
        <v>1208</v>
      </c>
      <c r="K1554" t="s">
        <v>20</v>
      </c>
      <c r="L1554" t="s">
        <v>4095</v>
      </c>
      <c r="M1554" s="3" t="str">
        <f>HYPERLINK("..\..\Imagery\ScannedPhotos\1979\CG79-084.jpg")</f>
        <v>..\..\Imagery\ScannedPhotos\1979\CG79-084.jpg</v>
      </c>
    </row>
    <row r="1555" spans="1:13" x14ac:dyDescent="0.25">
      <c r="A1555" t="s">
        <v>4096</v>
      </c>
      <c r="B1555">
        <v>565044</v>
      </c>
      <c r="C1555">
        <v>5920155</v>
      </c>
      <c r="D1555">
        <v>21</v>
      </c>
      <c r="E1555" t="s">
        <v>15</v>
      </c>
      <c r="F1555" t="s">
        <v>4097</v>
      </c>
      <c r="G1555">
        <v>4</v>
      </c>
      <c r="H1555" t="s">
        <v>1378</v>
      </c>
      <c r="I1555" t="s">
        <v>214</v>
      </c>
      <c r="J1555" t="s">
        <v>628</v>
      </c>
      <c r="K1555" t="s">
        <v>56</v>
      </c>
      <c r="L1555" t="s">
        <v>4098</v>
      </c>
      <c r="M1555" s="3" t="str">
        <f>HYPERLINK("..\..\Imagery\ScannedPhotos\1985\CG85-644.1.jpg")</f>
        <v>..\..\Imagery\ScannedPhotos\1985\CG85-644.1.jpg</v>
      </c>
    </row>
    <row r="1556" spans="1:13" x14ac:dyDescent="0.25">
      <c r="A1556" t="s">
        <v>4099</v>
      </c>
      <c r="B1556">
        <v>571122</v>
      </c>
      <c r="C1556">
        <v>5762763</v>
      </c>
      <c r="D1556">
        <v>21</v>
      </c>
      <c r="E1556" t="s">
        <v>15</v>
      </c>
      <c r="F1556" t="s">
        <v>4100</v>
      </c>
      <c r="G1556">
        <v>1</v>
      </c>
      <c r="H1556" t="s">
        <v>2480</v>
      </c>
      <c r="I1556" t="s">
        <v>195</v>
      </c>
      <c r="J1556" t="s">
        <v>1619</v>
      </c>
      <c r="K1556" t="s">
        <v>20</v>
      </c>
      <c r="L1556" t="s">
        <v>4101</v>
      </c>
      <c r="M1556" s="3" t="str">
        <f>HYPERLINK("..\..\Imagery\ScannedPhotos\1987\JS87-382.jpg")</f>
        <v>..\..\Imagery\ScannedPhotos\1987\JS87-382.jpg</v>
      </c>
    </row>
    <row r="1557" spans="1:13" x14ac:dyDescent="0.25">
      <c r="A1557" t="s">
        <v>4102</v>
      </c>
      <c r="B1557">
        <v>453154</v>
      </c>
      <c r="C1557">
        <v>6014795</v>
      </c>
      <c r="D1557">
        <v>21</v>
      </c>
      <c r="E1557" t="s">
        <v>15</v>
      </c>
      <c r="F1557" t="s">
        <v>4103</v>
      </c>
      <c r="G1557">
        <v>3</v>
      </c>
      <c r="H1557" t="s">
        <v>4104</v>
      </c>
      <c r="I1557" t="s">
        <v>281</v>
      </c>
      <c r="J1557" t="s">
        <v>4105</v>
      </c>
      <c r="K1557" t="s">
        <v>20</v>
      </c>
      <c r="L1557" t="s">
        <v>3364</v>
      </c>
      <c r="M1557" s="3" t="str">
        <f>HYPERLINK("..\..\Imagery\ScannedPhotos\1979\CG79-814.2.jpg")</f>
        <v>..\..\Imagery\ScannedPhotos\1979\CG79-814.2.jpg</v>
      </c>
    </row>
    <row r="1558" spans="1:13" x14ac:dyDescent="0.25">
      <c r="A1558" t="s">
        <v>4106</v>
      </c>
      <c r="B1558">
        <v>440513</v>
      </c>
      <c r="C1558">
        <v>6027303</v>
      </c>
      <c r="D1558">
        <v>21</v>
      </c>
      <c r="E1558" t="s">
        <v>15</v>
      </c>
      <c r="F1558" t="s">
        <v>4107</v>
      </c>
      <c r="G1558">
        <v>1</v>
      </c>
      <c r="H1558" t="s">
        <v>4104</v>
      </c>
      <c r="I1558" t="s">
        <v>35</v>
      </c>
      <c r="J1558" t="s">
        <v>4105</v>
      </c>
      <c r="K1558" t="s">
        <v>20</v>
      </c>
      <c r="L1558" t="s">
        <v>4108</v>
      </c>
      <c r="M1558" s="3" t="str">
        <f>HYPERLINK("..\..\Imagery\ScannedPhotos\1979\CG79-847.jpg")</f>
        <v>..\..\Imagery\ScannedPhotos\1979\CG79-847.jpg</v>
      </c>
    </row>
    <row r="1559" spans="1:13" x14ac:dyDescent="0.25">
      <c r="A1559" t="s">
        <v>4109</v>
      </c>
      <c r="B1559">
        <v>473375</v>
      </c>
      <c r="C1559">
        <v>5929228</v>
      </c>
      <c r="D1559">
        <v>21</v>
      </c>
      <c r="E1559" t="s">
        <v>15</v>
      </c>
      <c r="F1559" t="s">
        <v>4110</v>
      </c>
      <c r="G1559">
        <v>1</v>
      </c>
      <c r="H1559" t="s">
        <v>60</v>
      </c>
      <c r="I1559" t="s">
        <v>85</v>
      </c>
      <c r="J1559" t="s">
        <v>61</v>
      </c>
      <c r="K1559" t="s">
        <v>20</v>
      </c>
      <c r="L1559" t="s">
        <v>451</v>
      </c>
      <c r="M1559" s="3" t="str">
        <f>HYPERLINK("..\..\Imagery\ScannedPhotos\1984\CG84-189.jpg")</f>
        <v>..\..\Imagery\ScannedPhotos\1984\CG84-189.jpg</v>
      </c>
    </row>
    <row r="1560" spans="1:13" x14ac:dyDescent="0.25">
      <c r="A1560" t="s">
        <v>4111</v>
      </c>
      <c r="B1560">
        <v>573347</v>
      </c>
      <c r="C1560">
        <v>5918782</v>
      </c>
      <c r="D1560">
        <v>21</v>
      </c>
      <c r="E1560" t="s">
        <v>15</v>
      </c>
      <c r="F1560" t="s">
        <v>4112</v>
      </c>
      <c r="G1560">
        <v>2</v>
      </c>
      <c r="H1560" t="s">
        <v>1577</v>
      </c>
      <c r="I1560" t="s">
        <v>386</v>
      </c>
      <c r="J1560" t="s">
        <v>1374</v>
      </c>
      <c r="K1560" t="s">
        <v>20</v>
      </c>
      <c r="L1560" t="s">
        <v>4113</v>
      </c>
      <c r="M1560" s="3" t="str">
        <f>HYPERLINK("..\..\Imagery\ScannedPhotos\1985\GM85-631.2.jpg")</f>
        <v>..\..\Imagery\ScannedPhotos\1985\GM85-631.2.jpg</v>
      </c>
    </row>
    <row r="1561" spans="1:13" x14ac:dyDescent="0.25">
      <c r="A1561" t="s">
        <v>4114</v>
      </c>
      <c r="B1561">
        <v>574550</v>
      </c>
      <c r="C1561">
        <v>5919000</v>
      </c>
      <c r="D1561">
        <v>21</v>
      </c>
      <c r="E1561" t="s">
        <v>15</v>
      </c>
      <c r="F1561" t="s">
        <v>4115</v>
      </c>
      <c r="G1561">
        <v>5</v>
      </c>
      <c r="H1561" t="s">
        <v>1577</v>
      </c>
      <c r="I1561" t="s">
        <v>214</v>
      </c>
      <c r="J1561" t="s">
        <v>1374</v>
      </c>
      <c r="K1561" t="s">
        <v>20</v>
      </c>
      <c r="L1561" t="s">
        <v>4116</v>
      </c>
      <c r="M1561" s="3" t="str">
        <f>HYPERLINK("..\..\Imagery\ScannedPhotos\1985\GM85-633.2.jpg")</f>
        <v>..\..\Imagery\ScannedPhotos\1985\GM85-633.2.jpg</v>
      </c>
    </row>
    <row r="1562" spans="1:13" x14ac:dyDescent="0.25">
      <c r="A1562" t="s">
        <v>4117</v>
      </c>
      <c r="B1562">
        <v>572796</v>
      </c>
      <c r="C1562">
        <v>5887075</v>
      </c>
      <c r="D1562">
        <v>21</v>
      </c>
      <c r="E1562" t="s">
        <v>15</v>
      </c>
      <c r="F1562" t="s">
        <v>4118</v>
      </c>
      <c r="G1562">
        <v>3</v>
      </c>
      <c r="H1562" t="s">
        <v>2412</v>
      </c>
      <c r="I1562" t="s">
        <v>143</v>
      </c>
      <c r="J1562" t="s">
        <v>1463</v>
      </c>
      <c r="K1562" t="s">
        <v>20</v>
      </c>
      <c r="L1562" t="s">
        <v>4119</v>
      </c>
      <c r="M1562" s="3" t="str">
        <f>HYPERLINK("..\..\Imagery\ScannedPhotos\1985\GM85-509.3.jpg")</f>
        <v>..\..\Imagery\ScannedPhotos\1985\GM85-509.3.jpg</v>
      </c>
    </row>
    <row r="1563" spans="1:13" x14ac:dyDescent="0.25">
      <c r="A1563" t="s">
        <v>4117</v>
      </c>
      <c r="B1563">
        <v>572796</v>
      </c>
      <c r="C1563">
        <v>5887075</v>
      </c>
      <c r="D1563">
        <v>21</v>
      </c>
      <c r="E1563" t="s">
        <v>15</v>
      </c>
      <c r="F1563" t="s">
        <v>4120</v>
      </c>
      <c r="G1563">
        <v>3</v>
      </c>
      <c r="H1563" t="s">
        <v>2412</v>
      </c>
      <c r="I1563" t="s">
        <v>129</v>
      </c>
      <c r="J1563" t="s">
        <v>1463</v>
      </c>
      <c r="K1563" t="s">
        <v>20</v>
      </c>
      <c r="L1563" t="s">
        <v>4119</v>
      </c>
      <c r="M1563" s="3" t="str">
        <f>HYPERLINK("..\..\Imagery\ScannedPhotos\1985\GM85-509.2.jpg")</f>
        <v>..\..\Imagery\ScannedPhotos\1985\GM85-509.2.jpg</v>
      </c>
    </row>
    <row r="1564" spans="1:13" x14ac:dyDescent="0.25">
      <c r="A1564" t="s">
        <v>4117</v>
      </c>
      <c r="B1564">
        <v>572796</v>
      </c>
      <c r="C1564">
        <v>5887075</v>
      </c>
      <c r="D1564">
        <v>21</v>
      </c>
      <c r="E1564" t="s">
        <v>15</v>
      </c>
      <c r="F1564" t="s">
        <v>4121</v>
      </c>
      <c r="G1564">
        <v>3</v>
      </c>
      <c r="H1564" t="s">
        <v>2412</v>
      </c>
      <c r="I1564" t="s">
        <v>132</v>
      </c>
      <c r="J1564" t="s">
        <v>1463</v>
      </c>
      <c r="K1564" t="s">
        <v>20</v>
      </c>
      <c r="L1564" t="s">
        <v>4119</v>
      </c>
      <c r="M1564" s="3" t="str">
        <f>HYPERLINK("..\..\Imagery\ScannedPhotos\1985\GM85-509.1.jpg")</f>
        <v>..\..\Imagery\ScannedPhotos\1985\GM85-509.1.jpg</v>
      </c>
    </row>
    <row r="1565" spans="1:13" x14ac:dyDescent="0.25">
      <c r="A1565" t="s">
        <v>4122</v>
      </c>
      <c r="B1565">
        <v>499575</v>
      </c>
      <c r="C1565">
        <v>5837650</v>
      </c>
      <c r="D1565">
        <v>21</v>
      </c>
      <c r="E1565" t="s">
        <v>15</v>
      </c>
      <c r="F1565" t="s">
        <v>4123</v>
      </c>
      <c r="G1565">
        <v>1</v>
      </c>
      <c r="H1565" t="s">
        <v>1712</v>
      </c>
      <c r="I1565" t="s">
        <v>214</v>
      </c>
      <c r="J1565" t="s">
        <v>1713</v>
      </c>
      <c r="K1565" t="s">
        <v>20</v>
      </c>
      <c r="L1565" t="s">
        <v>642</v>
      </c>
      <c r="M1565" s="3" t="str">
        <f>HYPERLINK("..\..\Imagery\ScannedPhotos\1991\DE91-090.jpg")</f>
        <v>..\..\Imagery\ScannedPhotos\1991\DE91-090.jpg</v>
      </c>
    </row>
    <row r="1566" spans="1:13" x14ac:dyDescent="0.25">
      <c r="A1566" t="s">
        <v>4124</v>
      </c>
      <c r="B1566">
        <v>499425</v>
      </c>
      <c r="C1566">
        <v>5837275</v>
      </c>
      <c r="D1566">
        <v>21</v>
      </c>
      <c r="E1566" t="s">
        <v>15</v>
      </c>
      <c r="F1566" t="s">
        <v>4125</v>
      </c>
      <c r="G1566">
        <v>1</v>
      </c>
      <c r="H1566" t="s">
        <v>1712</v>
      </c>
      <c r="I1566" t="s">
        <v>222</v>
      </c>
      <c r="J1566" t="s">
        <v>1713</v>
      </c>
      <c r="K1566" t="s">
        <v>56</v>
      </c>
      <c r="L1566" t="s">
        <v>4126</v>
      </c>
      <c r="M1566" s="3" t="str">
        <f>HYPERLINK("..\..\Imagery\ScannedPhotos\1991\DE91-093.jpg")</f>
        <v>..\..\Imagery\ScannedPhotos\1991\DE91-093.jpg</v>
      </c>
    </row>
    <row r="1567" spans="1:13" x14ac:dyDescent="0.25">
      <c r="A1567" t="s">
        <v>4127</v>
      </c>
      <c r="B1567">
        <v>498975</v>
      </c>
      <c r="C1567">
        <v>5836450</v>
      </c>
      <c r="D1567">
        <v>21</v>
      </c>
      <c r="E1567" t="s">
        <v>15</v>
      </c>
      <c r="F1567" t="s">
        <v>4128</v>
      </c>
      <c r="G1567">
        <v>2</v>
      </c>
      <c r="H1567" t="s">
        <v>1712</v>
      </c>
      <c r="I1567" t="s">
        <v>304</v>
      </c>
      <c r="J1567" t="s">
        <v>1713</v>
      </c>
      <c r="K1567" t="s">
        <v>20</v>
      </c>
      <c r="L1567" t="s">
        <v>4129</v>
      </c>
      <c r="M1567" s="3" t="str">
        <f>HYPERLINK("..\..\Imagery\ScannedPhotos\1991\DE91-095.1.jpg")</f>
        <v>..\..\Imagery\ScannedPhotos\1991\DE91-095.1.jpg</v>
      </c>
    </row>
    <row r="1568" spans="1:13" x14ac:dyDescent="0.25">
      <c r="A1568" t="s">
        <v>4127</v>
      </c>
      <c r="B1568">
        <v>498975</v>
      </c>
      <c r="C1568">
        <v>5836450</v>
      </c>
      <c r="D1568">
        <v>21</v>
      </c>
      <c r="E1568" t="s">
        <v>15</v>
      </c>
      <c r="F1568" t="s">
        <v>4130</v>
      </c>
      <c r="G1568">
        <v>2</v>
      </c>
      <c r="H1568" t="s">
        <v>1712</v>
      </c>
      <c r="I1568" t="s">
        <v>195</v>
      </c>
      <c r="J1568" t="s">
        <v>1713</v>
      </c>
      <c r="K1568" t="s">
        <v>56</v>
      </c>
      <c r="L1568" t="s">
        <v>322</v>
      </c>
      <c r="M1568" s="3" t="str">
        <f>HYPERLINK("..\..\Imagery\ScannedPhotos\1991\DE91-095.2.jpg")</f>
        <v>..\..\Imagery\ScannedPhotos\1991\DE91-095.2.jpg</v>
      </c>
    </row>
    <row r="1569" spans="1:13" x14ac:dyDescent="0.25">
      <c r="A1569" t="s">
        <v>4131</v>
      </c>
      <c r="B1569">
        <v>498750</v>
      </c>
      <c r="C1569">
        <v>5835400</v>
      </c>
      <c r="D1569">
        <v>21</v>
      </c>
      <c r="E1569" t="s">
        <v>15</v>
      </c>
      <c r="F1569" t="s">
        <v>4132</v>
      </c>
      <c r="G1569">
        <v>1</v>
      </c>
      <c r="H1569" t="s">
        <v>1712</v>
      </c>
      <c r="I1569" t="s">
        <v>25</v>
      </c>
      <c r="J1569" t="s">
        <v>1713</v>
      </c>
      <c r="K1569" t="s">
        <v>20</v>
      </c>
      <c r="L1569" t="s">
        <v>4133</v>
      </c>
      <c r="M1569" s="3" t="str">
        <f>HYPERLINK("..\..\Imagery\ScannedPhotos\1991\DE91-097.jpg")</f>
        <v>..\..\Imagery\ScannedPhotos\1991\DE91-097.jpg</v>
      </c>
    </row>
    <row r="1570" spans="1:13" x14ac:dyDescent="0.25">
      <c r="A1570" t="s">
        <v>4134</v>
      </c>
      <c r="B1570">
        <v>449314</v>
      </c>
      <c r="C1570">
        <v>6060594</v>
      </c>
      <c r="D1570">
        <v>21</v>
      </c>
      <c r="E1570" t="s">
        <v>15</v>
      </c>
      <c r="F1570" t="s">
        <v>4135</v>
      </c>
      <c r="G1570">
        <v>3</v>
      </c>
      <c r="H1570" t="s">
        <v>4136</v>
      </c>
      <c r="I1570" t="s">
        <v>25</v>
      </c>
      <c r="J1570" t="s">
        <v>423</v>
      </c>
      <c r="K1570" t="s">
        <v>535</v>
      </c>
      <c r="L1570" t="s">
        <v>4137</v>
      </c>
      <c r="M1570" s="3" t="str">
        <f>HYPERLINK("..\..\Imagery\ScannedPhotos\1979\CG79-174.2.jpg")</f>
        <v>..\..\Imagery\ScannedPhotos\1979\CG79-174.2.jpg</v>
      </c>
    </row>
    <row r="1571" spans="1:13" x14ac:dyDescent="0.25">
      <c r="A1571" t="s">
        <v>4138</v>
      </c>
      <c r="B1571">
        <v>402344</v>
      </c>
      <c r="C1571">
        <v>5986606</v>
      </c>
      <c r="D1571">
        <v>21</v>
      </c>
      <c r="E1571" t="s">
        <v>15</v>
      </c>
      <c r="F1571" t="s">
        <v>4139</v>
      </c>
      <c r="G1571">
        <v>1</v>
      </c>
      <c r="H1571" t="s">
        <v>1457</v>
      </c>
      <c r="I1571" t="s">
        <v>281</v>
      </c>
      <c r="J1571" t="s">
        <v>1458</v>
      </c>
      <c r="K1571" t="s">
        <v>20</v>
      </c>
      <c r="L1571" t="s">
        <v>4140</v>
      </c>
      <c r="M1571" s="3" t="str">
        <f>HYPERLINK("..\..\Imagery\ScannedPhotos\1980\RG80-350.jpg")</f>
        <v>..\..\Imagery\ScannedPhotos\1980\RG80-350.jpg</v>
      </c>
    </row>
    <row r="1572" spans="1:13" x14ac:dyDescent="0.25">
      <c r="A1572" t="s">
        <v>4141</v>
      </c>
      <c r="B1572">
        <v>423665</v>
      </c>
      <c r="C1572">
        <v>5988253</v>
      </c>
      <c r="D1572">
        <v>21</v>
      </c>
      <c r="E1572" t="s">
        <v>15</v>
      </c>
      <c r="F1572" t="s">
        <v>4142</v>
      </c>
      <c r="G1572">
        <v>1</v>
      </c>
      <c r="H1572" t="s">
        <v>1457</v>
      </c>
      <c r="I1572" t="s">
        <v>18</v>
      </c>
      <c r="J1572" t="s">
        <v>1458</v>
      </c>
      <c r="K1572" t="s">
        <v>20</v>
      </c>
      <c r="L1572" t="s">
        <v>4143</v>
      </c>
      <c r="M1572" s="3" t="str">
        <f>HYPERLINK("..\..\Imagery\ScannedPhotos\1980\RG80-417.jpg")</f>
        <v>..\..\Imagery\ScannedPhotos\1980\RG80-417.jpg</v>
      </c>
    </row>
    <row r="1573" spans="1:13" x14ac:dyDescent="0.25">
      <c r="A1573" t="s">
        <v>4144</v>
      </c>
      <c r="B1573">
        <v>527982</v>
      </c>
      <c r="C1573">
        <v>5746844</v>
      </c>
      <c r="D1573">
        <v>21</v>
      </c>
      <c r="E1573" t="s">
        <v>15</v>
      </c>
      <c r="F1573" t="s">
        <v>4145</v>
      </c>
      <c r="G1573">
        <v>2</v>
      </c>
      <c r="H1573" t="s">
        <v>869</v>
      </c>
      <c r="I1573" t="s">
        <v>375</v>
      </c>
      <c r="J1573" t="s">
        <v>870</v>
      </c>
      <c r="K1573" t="s">
        <v>20</v>
      </c>
      <c r="L1573" t="s">
        <v>4146</v>
      </c>
      <c r="M1573" s="3" t="str">
        <f>HYPERLINK("..\..\Imagery\ScannedPhotos\1993\VN93-601.2.jpg")</f>
        <v>..\..\Imagery\ScannedPhotos\1993\VN93-601.2.jpg</v>
      </c>
    </row>
    <row r="1574" spans="1:13" x14ac:dyDescent="0.25">
      <c r="A1574" t="s">
        <v>4147</v>
      </c>
      <c r="B1574">
        <v>529900</v>
      </c>
      <c r="C1574">
        <v>5731700</v>
      </c>
      <c r="D1574">
        <v>21</v>
      </c>
      <c r="E1574" t="s">
        <v>15</v>
      </c>
      <c r="F1574" t="s">
        <v>4148</v>
      </c>
      <c r="G1574">
        <v>1</v>
      </c>
      <c r="H1574" t="s">
        <v>1061</v>
      </c>
      <c r="I1574" t="s">
        <v>209</v>
      </c>
      <c r="J1574" t="s">
        <v>1062</v>
      </c>
      <c r="K1574" t="s">
        <v>56</v>
      </c>
      <c r="L1574" t="s">
        <v>4149</v>
      </c>
      <c r="M1574" s="3" t="str">
        <f>HYPERLINK("..\..\Imagery\ScannedPhotos\1993\CG93-017.jpg")</f>
        <v>..\..\Imagery\ScannedPhotos\1993\CG93-017.jpg</v>
      </c>
    </row>
    <row r="1575" spans="1:13" x14ac:dyDescent="0.25">
      <c r="A1575" t="s">
        <v>4150</v>
      </c>
      <c r="B1575">
        <v>538650</v>
      </c>
      <c r="C1575">
        <v>5732840</v>
      </c>
      <c r="D1575">
        <v>21</v>
      </c>
      <c r="E1575" t="s">
        <v>15</v>
      </c>
      <c r="F1575" t="s">
        <v>4151</v>
      </c>
      <c r="G1575">
        <v>1</v>
      </c>
      <c r="H1575" t="s">
        <v>1061</v>
      </c>
      <c r="I1575" t="s">
        <v>386</v>
      </c>
      <c r="J1575" t="s">
        <v>1062</v>
      </c>
      <c r="K1575" t="s">
        <v>56</v>
      </c>
      <c r="L1575" t="s">
        <v>4152</v>
      </c>
      <c r="M1575" s="3" t="str">
        <f>HYPERLINK("..\..\Imagery\ScannedPhotos\1993\CG93-019.jpg")</f>
        <v>..\..\Imagery\ScannedPhotos\1993\CG93-019.jpg</v>
      </c>
    </row>
    <row r="1576" spans="1:13" x14ac:dyDescent="0.25">
      <c r="A1576" t="s">
        <v>4153</v>
      </c>
      <c r="B1576">
        <v>475219</v>
      </c>
      <c r="C1576">
        <v>6040341</v>
      </c>
      <c r="D1576">
        <v>21</v>
      </c>
      <c r="E1576" t="s">
        <v>15</v>
      </c>
      <c r="F1576" t="s">
        <v>4154</v>
      </c>
      <c r="G1576">
        <v>1</v>
      </c>
      <c r="H1576" t="s">
        <v>427</v>
      </c>
      <c r="I1576" t="s">
        <v>25</v>
      </c>
      <c r="J1576" t="s">
        <v>428</v>
      </c>
      <c r="K1576" t="s">
        <v>20</v>
      </c>
      <c r="L1576" t="s">
        <v>4155</v>
      </c>
      <c r="M1576" s="3" t="str">
        <f>HYPERLINK("..\..\Imagery\ScannedPhotos\1979\AD79-229.jpg")</f>
        <v>..\..\Imagery\ScannedPhotos\1979\AD79-229.jpg</v>
      </c>
    </row>
    <row r="1577" spans="1:13" x14ac:dyDescent="0.25">
      <c r="A1577" t="s">
        <v>4156</v>
      </c>
      <c r="B1577">
        <v>474731</v>
      </c>
      <c r="C1577">
        <v>6039525</v>
      </c>
      <c r="D1577">
        <v>21</v>
      </c>
      <c r="E1577" t="s">
        <v>15</v>
      </c>
      <c r="F1577" t="s">
        <v>4157</v>
      </c>
      <c r="G1577">
        <v>3</v>
      </c>
      <c r="H1577" t="s">
        <v>427</v>
      </c>
      <c r="I1577" t="s">
        <v>360</v>
      </c>
      <c r="J1577" t="s">
        <v>428</v>
      </c>
      <c r="K1577" t="s">
        <v>20</v>
      </c>
      <c r="L1577" t="s">
        <v>4158</v>
      </c>
      <c r="M1577" s="3" t="str">
        <f>HYPERLINK("..\..\Imagery\ScannedPhotos\1979\AD79-230.1.jpg")</f>
        <v>..\..\Imagery\ScannedPhotos\1979\AD79-230.1.jpg</v>
      </c>
    </row>
    <row r="1578" spans="1:13" x14ac:dyDescent="0.25">
      <c r="A1578" t="s">
        <v>4156</v>
      </c>
      <c r="B1578">
        <v>474731</v>
      </c>
      <c r="C1578">
        <v>6039525</v>
      </c>
      <c r="D1578">
        <v>21</v>
      </c>
      <c r="E1578" t="s">
        <v>15</v>
      </c>
      <c r="F1578" t="s">
        <v>4159</v>
      </c>
      <c r="G1578">
        <v>3</v>
      </c>
      <c r="H1578" t="s">
        <v>427</v>
      </c>
      <c r="I1578" t="s">
        <v>647</v>
      </c>
      <c r="J1578" t="s">
        <v>428</v>
      </c>
      <c r="K1578" t="s">
        <v>20</v>
      </c>
      <c r="L1578" t="s">
        <v>4160</v>
      </c>
      <c r="M1578" s="3" t="str">
        <f>HYPERLINK("..\..\Imagery\ScannedPhotos\1979\AD79-230.2.jpg")</f>
        <v>..\..\Imagery\ScannedPhotos\1979\AD79-230.2.jpg</v>
      </c>
    </row>
    <row r="1579" spans="1:13" x14ac:dyDescent="0.25">
      <c r="A1579" t="s">
        <v>4156</v>
      </c>
      <c r="B1579">
        <v>474731</v>
      </c>
      <c r="C1579">
        <v>6039525</v>
      </c>
      <c r="D1579">
        <v>21</v>
      </c>
      <c r="E1579" t="s">
        <v>15</v>
      </c>
      <c r="F1579" t="s">
        <v>4161</v>
      </c>
      <c r="G1579">
        <v>3</v>
      </c>
      <c r="H1579" t="s">
        <v>427</v>
      </c>
      <c r="I1579" t="s">
        <v>30</v>
      </c>
      <c r="J1579" t="s">
        <v>428</v>
      </c>
      <c r="K1579" t="s">
        <v>20</v>
      </c>
      <c r="L1579" t="s">
        <v>4162</v>
      </c>
      <c r="M1579" s="3" t="str">
        <f>HYPERLINK("..\..\Imagery\ScannedPhotos\1979\AD79-230.3.jpg")</f>
        <v>..\..\Imagery\ScannedPhotos\1979\AD79-230.3.jpg</v>
      </c>
    </row>
    <row r="1580" spans="1:13" x14ac:dyDescent="0.25">
      <c r="A1580" t="s">
        <v>4163</v>
      </c>
      <c r="B1580">
        <v>474117</v>
      </c>
      <c r="C1580">
        <v>6038906</v>
      </c>
      <c r="D1580">
        <v>21</v>
      </c>
      <c r="E1580" t="s">
        <v>15</v>
      </c>
      <c r="F1580" t="s">
        <v>4164</v>
      </c>
      <c r="G1580">
        <v>2</v>
      </c>
      <c r="H1580" t="s">
        <v>427</v>
      </c>
      <c r="I1580" t="s">
        <v>129</v>
      </c>
      <c r="J1580" t="s">
        <v>428</v>
      </c>
      <c r="K1580" t="s">
        <v>20</v>
      </c>
      <c r="L1580" t="s">
        <v>4165</v>
      </c>
      <c r="M1580" s="3" t="str">
        <f>HYPERLINK("..\..\Imagery\ScannedPhotos\1979\AD79-232.1.jpg")</f>
        <v>..\..\Imagery\ScannedPhotos\1979\AD79-232.1.jpg</v>
      </c>
    </row>
    <row r="1581" spans="1:13" x14ac:dyDescent="0.25">
      <c r="A1581" t="s">
        <v>4163</v>
      </c>
      <c r="B1581">
        <v>474117</v>
      </c>
      <c r="C1581">
        <v>6038906</v>
      </c>
      <c r="D1581">
        <v>21</v>
      </c>
      <c r="E1581" t="s">
        <v>15</v>
      </c>
      <c r="F1581" t="s">
        <v>4166</v>
      </c>
      <c r="G1581">
        <v>2</v>
      </c>
      <c r="H1581" t="s">
        <v>427</v>
      </c>
      <c r="I1581" t="s">
        <v>147</v>
      </c>
      <c r="J1581" t="s">
        <v>428</v>
      </c>
      <c r="K1581" t="s">
        <v>20</v>
      </c>
      <c r="L1581" t="s">
        <v>4167</v>
      </c>
      <c r="M1581" s="3" t="str">
        <f>HYPERLINK("..\..\Imagery\ScannedPhotos\1979\AD79-232.2.jpg")</f>
        <v>..\..\Imagery\ScannedPhotos\1979\AD79-232.2.jpg</v>
      </c>
    </row>
    <row r="1582" spans="1:13" x14ac:dyDescent="0.25">
      <c r="A1582" t="s">
        <v>4168</v>
      </c>
      <c r="B1582">
        <v>472663</v>
      </c>
      <c r="C1582">
        <v>6038214</v>
      </c>
      <c r="D1582">
        <v>21</v>
      </c>
      <c r="E1582" t="s">
        <v>15</v>
      </c>
      <c r="F1582" t="s">
        <v>4169</v>
      </c>
      <c r="G1582">
        <v>1</v>
      </c>
      <c r="H1582" t="s">
        <v>682</v>
      </c>
      <c r="I1582" t="s">
        <v>79</v>
      </c>
      <c r="J1582" t="s">
        <v>683</v>
      </c>
      <c r="K1582" t="s">
        <v>20</v>
      </c>
      <c r="L1582" t="s">
        <v>4170</v>
      </c>
      <c r="M1582" s="3" t="str">
        <f>HYPERLINK("..\..\Imagery\ScannedPhotos\1979\AD79-233.jpg")</f>
        <v>..\..\Imagery\ScannedPhotos\1979\AD79-233.jpg</v>
      </c>
    </row>
    <row r="1583" spans="1:13" x14ac:dyDescent="0.25">
      <c r="A1583" t="s">
        <v>4171</v>
      </c>
      <c r="B1583">
        <v>459179</v>
      </c>
      <c r="C1583">
        <v>5876532</v>
      </c>
      <c r="D1583">
        <v>21</v>
      </c>
      <c r="E1583" t="s">
        <v>15</v>
      </c>
      <c r="F1583" t="s">
        <v>4172</v>
      </c>
      <c r="G1583">
        <v>2</v>
      </c>
      <c r="H1583" t="s">
        <v>2895</v>
      </c>
      <c r="I1583" t="s">
        <v>35</v>
      </c>
      <c r="J1583" t="s">
        <v>2896</v>
      </c>
      <c r="K1583" t="s">
        <v>20</v>
      </c>
      <c r="L1583" t="s">
        <v>4173</v>
      </c>
      <c r="M1583" s="3" t="str">
        <f>HYPERLINK("..\..\Imagery\ScannedPhotos\1984\CG84-301.2.jpg")</f>
        <v>..\..\Imagery\ScannedPhotos\1984\CG84-301.2.jpg</v>
      </c>
    </row>
    <row r="1584" spans="1:13" x14ac:dyDescent="0.25">
      <c r="A1584" t="s">
        <v>4171</v>
      </c>
      <c r="B1584">
        <v>459179</v>
      </c>
      <c r="C1584">
        <v>5876532</v>
      </c>
      <c r="D1584">
        <v>21</v>
      </c>
      <c r="E1584" t="s">
        <v>15</v>
      </c>
      <c r="F1584" t="s">
        <v>4174</v>
      </c>
      <c r="G1584">
        <v>2</v>
      </c>
      <c r="H1584" t="s">
        <v>2895</v>
      </c>
      <c r="I1584" t="s">
        <v>18</v>
      </c>
      <c r="J1584" t="s">
        <v>2896</v>
      </c>
      <c r="K1584" t="s">
        <v>56</v>
      </c>
      <c r="L1584" t="s">
        <v>4175</v>
      </c>
      <c r="M1584" s="3" t="str">
        <f>HYPERLINK("..\..\Imagery\ScannedPhotos\1984\CG84-301.1.jpg")</f>
        <v>..\..\Imagery\ScannedPhotos\1984\CG84-301.1.jpg</v>
      </c>
    </row>
    <row r="1585" spans="1:13" x14ac:dyDescent="0.25">
      <c r="A1585" t="s">
        <v>4176</v>
      </c>
      <c r="B1585">
        <v>459260</v>
      </c>
      <c r="C1585">
        <v>5873397</v>
      </c>
      <c r="D1585">
        <v>21</v>
      </c>
      <c r="E1585" t="s">
        <v>15</v>
      </c>
      <c r="F1585" t="s">
        <v>4177</v>
      </c>
      <c r="G1585">
        <v>2</v>
      </c>
      <c r="H1585" t="s">
        <v>2895</v>
      </c>
      <c r="I1585" t="s">
        <v>74</v>
      </c>
      <c r="J1585" t="s">
        <v>2896</v>
      </c>
      <c r="K1585" t="s">
        <v>20</v>
      </c>
      <c r="L1585" t="s">
        <v>4178</v>
      </c>
      <c r="M1585" s="3" t="str">
        <f>HYPERLINK("..\..\Imagery\ScannedPhotos\1984\CG84-307.2.jpg")</f>
        <v>..\..\Imagery\ScannedPhotos\1984\CG84-307.2.jpg</v>
      </c>
    </row>
    <row r="1586" spans="1:13" x14ac:dyDescent="0.25">
      <c r="A1586" t="s">
        <v>4179</v>
      </c>
      <c r="B1586">
        <v>498575</v>
      </c>
      <c r="C1586">
        <v>5851600</v>
      </c>
      <c r="D1586">
        <v>21</v>
      </c>
      <c r="E1586" t="s">
        <v>15</v>
      </c>
      <c r="F1586" t="s">
        <v>4180</v>
      </c>
      <c r="G1586">
        <v>2</v>
      </c>
      <c r="H1586" t="s">
        <v>1128</v>
      </c>
      <c r="I1586" t="s">
        <v>79</v>
      </c>
      <c r="J1586" t="s">
        <v>1129</v>
      </c>
      <c r="K1586" t="s">
        <v>20</v>
      </c>
      <c r="L1586" t="s">
        <v>4181</v>
      </c>
      <c r="M1586" s="3" t="str">
        <f>HYPERLINK("..\..\Imagery\ScannedPhotos\1991\VN91-090.1.jpg")</f>
        <v>..\..\Imagery\ScannedPhotos\1991\VN91-090.1.jpg</v>
      </c>
    </row>
    <row r="1587" spans="1:13" x14ac:dyDescent="0.25">
      <c r="A1587" t="s">
        <v>4179</v>
      </c>
      <c r="B1587">
        <v>498575</v>
      </c>
      <c r="C1587">
        <v>5851600</v>
      </c>
      <c r="D1587">
        <v>21</v>
      </c>
      <c r="E1587" t="s">
        <v>15</v>
      </c>
      <c r="F1587" t="s">
        <v>4182</v>
      </c>
      <c r="G1587">
        <v>2</v>
      </c>
      <c r="H1587" t="s">
        <v>1128</v>
      </c>
      <c r="I1587" t="s">
        <v>281</v>
      </c>
      <c r="J1587" t="s">
        <v>1129</v>
      </c>
      <c r="K1587" t="s">
        <v>20</v>
      </c>
      <c r="L1587" t="s">
        <v>4181</v>
      </c>
      <c r="M1587" s="3" t="str">
        <f>HYPERLINK("..\..\Imagery\ScannedPhotos\1991\VN91-090.2.jpg")</f>
        <v>..\..\Imagery\ScannedPhotos\1991\VN91-090.2.jpg</v>
      </c>
    </row>
    <row r="1588" spans="1:13" x14ac:dyDescent="0.25">
      <c r="A1588" t="s">
        <v>4183</v>
      </c>
      <c r="B1588">
        <v>497950</v>
      </c>
      <c r="C1588">
        <v>5851225</v>
      </c>
      <c r="D1588">
        <v>21</v>
      </c>
      <c r="E1588" t="s">
        <v>15</v>
      </c>
      <c r="F1588" t="s">
        <v>4184</v>
      </c>
      <c r="G1588">
        <v>2</v>
      </c>
      <c r="H1588" t="s">
        <v>1128</v>
      </c>
      <c r="I1588" t="s">
        <v>137</v>
      </c>
      <c r="J1588" t="s">
        <v>1129</v>
      </c>
      <c r="K1588" t="s">
        <v>20</v>
      </c>
      <c r="L1588" t="s">
        <v>4185</v>
      </c>
      <c r="M1588" s="3" t="str">
        <f>HYPERLINK("..\..\Imagery\ScannedPhotos\1991\VN91-091.1.jpg")</f>
        <v>..\..\Imagery\ScannedPhotos\1991\VN91-091.1.jpg</v>
      </c>
    </row>
    <row r="1589" spans="1:13" x14ac:dyDescent="0.25">
      <c r="A1589" t="s">
        <v>4186</v>
      </c>
      <c r="B1589">
        <v>423913</v>
      </c>
      <c r="C1589">
        <v>5891064</v>
      </c>
      <c r="D1589">
        <v>21</v>
      </c>
      <c r="E1589" t="s">
        <v>15</v>
      </c>
      <c r="F1589" t="s">
        <v>4187</v>
      </c>
      <c r="G1589">
        <v>3</v>
      </c>
      <c r="H1589" t="s">
        <v>1251</v>
      </c>
      <c r="I1589" t="s">
        <v>217</v>
      </c>
      <c r="J1589" t="s">
        <v>563</v>
      </c>
      <c r="K1589" t="s">
        <v>20</v>
      </c>
      <c r="L1589" t="s">
        <v>4188</v>
      </c>
      <c r="M1589" s="3" t="str">
        <f>HYPERLINK("..\..\Imagery\ScannedPhotos\1995\VN95-015.1.jpg")</f>
        <v>..\..\Imagery\ScannedPhotos\1995\VN95-015.1.jpg</v>
      </c>
    </row>
    <row r="1590" spans="1:13" x14ac:dyDescent="0.25">
      <c r="A1590" t="s">
        <v>4186</v>
      </c>
      <c r="B1590">
        <v>423913</v>
      </c>
      <c r="C1590">
        <v>5891064</v>
      </c>
      <c r="D1590">
        <v>21</v>
      </c>
      <c r="E1590" t="s">
        <v>15</v>
      </c>
      <c r="F1590" t="s">
        <v>4189</v>
      </c>
      <c r="G1590">
        <v>3</v>
      </c>
      <c r="H1590" t="s">
        <v>1251</v>
      </c>
      <c r="I1590" t="s">
        <v>222</v>
      </c>
      <c r="J1590" t="s">
        <v>563</v>
      </c>
      <c r="K1590" t="s">
        <v>20</v>
      </c>
      <c r="L1590" t="s">
        <v>4190</v>
      </c>
      <c r="M1590" s="3" t="str">
        <f>HYPERLINK("..\..\Imagery\ScannedPhotos\1995\VN95-015.3.jpg")</f>
        <v>..\..\Imagery\ScannedPhotos\1995\VN95-015.3.jpg</v>
      </c>
    </row>
    <row r="1591" spans="1:13" x14ac:dyDescent="0.25">
      <c r="A1591" t="s">
        <v>4191</v>
      </c>
      <c r="B1591">
        <v>423969</v>
      </c>
      <c r="C1591">
        <v>5891291</v>
      </c>
      <c r="D1591">
        <v>21</v>
      </c>
      <c r="E1591" t="s">
        <v>15</v>
      </c>
      <c r="F1591" t="s">
        <v>4192</v>
      </c>
      <c r="G1591">
        <v>2</v>
      </c>
      <c r="H1591" t="s">
        <v>1251</v>
      </c>
      <c r="I1591" t="s">
        <v>418</v>
      </c>
      <c r="J1591" t="s">
        <v>563</v>
      </c>
      <c r="K1591" t="s">
        <v>20</v>
      </c>
      <c r="L1591" t="s">
        <v>4193</v>
      </c>
      <c r="M1591" s="3" t="str">
        <f>HYPERLINK("..\..\Imagery\ScannedPhotos\1995\VN95-016.1.jpg")</f>
        <v>..\..\Imagery\ScannedPhotos\1995\VN95-016.1.jpg</v>
      </c>
    </row>
    <row r="1592" spans="1:13" x14ac:dyDescent="0.25">
      <c r="A1592" t="s">
        <v>4194</v>
      </c>
      <c r="B1592">
        <v>407937</v>
      </c>
      <c r="C1592">
        <v>5916437</v>
      </c>
      <c r="D1592">
        <v>21</v>
      </c>
      <c r="E1592" t="s">
        <v>15</v>
      </c>
      <c r="F1592" t="s">
        <v>4195</v>
      </c>
      <c r="G1592">
        <v>1</v>
      </c>
      <c r="H1592" t="s">
        <v>562</v>
      </c>
      <c r="I1592" t="s">
        <v>137</v>
      </c>
      <c r="J1592" t="s">
        <v>563</v>
      </c>
      <c r="K1592" t="s">
        <v>20</v>
      </c>
      <c r="L1592" t="s">
        <v>4196</v>
      </c>
      <c r="M1592" s="3" t="str">
        <f>HYPERLINK("..\..\Imagery\ScannedPhotos\1995\VN95-076.jpg")</f>
        <v>..\..\Imagery\ScannedPhotos\1995\VN95-076.jpg</v>
      </c>
    </row>
    <row r="1593" spans="1:13" x14ac:dyDescent="0.25">
      <c r="A1593" t="s">
        <v>4197</v>
      </c>
      <c r="B1593">
        <v>446257</v>
      </c>
      <c r="C1593">
        <v>5912629</v>
      </c>
      <c r="D1593">
        <v>21</v>
      </c>
      <c r="E1593" t="s">
        <v>15</v>
      </c>
      <c r="F1593" t="s">
        <v>4198</v>
      </c>
      <c r="G1593">
        <v>5</v>
      </c>
      <c r="H1593" t="s">
        <v>2459</v>
      </c>
      <c r="I1593" t="s">
        <v>209</v>
      </c>
      <c r="J1593" t="s">
        <v>2247</v>
      </c>
      <c r="K1593" t="s">
        <v>20</v>
      </c>
      <c r="L1593" t="s">
        <v>4199</v>
      </c>
      <c r="M1593" s="3" t="str">
        <f>HYPERLINK("..\..\Imagery\ScannedPhotos\1984\NN84-158.5.jpg")</f>
        <v>..\..\Imagery\ScannedPhotos\1984\NN84-158.5.jpg</v>
      </c>
    </row>
    <row r="1594" spans="1:13" x14ac:dyDescent="0.25">
      <c r="A1594" t="s">
        <v>4197</v>
      </c>
      <c r="B1594">
        <v>446257</v>
      </c>
      <c r="C1594">
        <v>5912629</v>
      </c>
      <c r="D1594">
        <v>21</v>
      </c>
      <c r="E1594" t="s">
        <v>15</v>
      </c>
      <c r="F1594" t="s">
        <v>4200</v>
      </c>
      <c r="G1594">
        <v>5</v>
      </c>
      <c r="H1594" t="s">
        <v>2459</v>
      </c>
      <c r="I1594" t="s">
        <v>375</v>
      </c>
      <c r="J1594" t="s">
        <v>2247</v>
      </c>
      <c r="K1594" t="s">
        <v>20</v>
      </c>
      <c r="L1594" t="s">
        <v>4199</v>
      </c>
      <c r="M1594" s="3" t="str">
        <f>HYPERLINK("..\..\Imagery\ScannedPhotos\1984\NN84-158.4.jpg")</f>
        <v>..\..\Imagery\ScannedPhotos\1984\NN84-158.4.jpg</v>
      </c>
    </row>
    <row r="1595" spans="1:13" x14ac:dyDescent="0.25">
      <c r="A1595" t="s">
        <v>3896</v>
      </c>
      <c r="B1595">
        <v>515859</v>
      </c>
      <c r="C1595">
        <v>5890443</v>
      </c>
      <c r="D1595">
        <v>21</v>
      </c>
      <c r="E1595" t="s">
        <v>15</v>
      </c>
      <c r="F1595" t="s">
        <v>4201</v>
      </c>
      <c r="G1595">
        <v>6</v>
      </c>
      <c r="H1595" t="s">
        <v>2084</v>
      </c>
      <c r="I1595" t="s">
        <v>18</v>
      </c>
      <c r="J1595" t="s">
        <v>1014</v>
      </c>
      <c r="K1595" t="s">
        <v>56</v>
      </c>
      <c r="L1595" t="s">
        <v>43</v>
      </c>
      <c r="M1595" s="3" t="str">
        <f>HYPERLINK("..\..\Imagery\ScannedPhotos\1985\CG85-145.1.jpg")</f>
        <v>..\..\Imagery\ScannedPhotos\1985\CG85-145.1.jpg</v>
      </c>
    </row>
    <row r="1596" spans="1:13" x14ac:dyDescent="0.25">
      <c r="A1596" t="s">
        <v>4202</v>
      </c>
      <c r="B1596">
        <v>516190</v>
      </c>
      <c r="C1596">
        <v>5894459</v>
      </c>
      <c r="D1596">
        <v>21</v>
      </c>
      <c r="E1596" t="s">
        <v>15</v>
      </c>
      <c r="F1596" t="s">
        <v>4203</v>
      </c>
      <c r="G1596">
        <v>1</v>
      </c>
      <c r="H1596" t="s">
        <v>2084</v>
      </c>
      <c r="I1596" t="s">
        <v>35</v>
      </c>
      <c r="J1596" t="s">
        <v>1014</v>
      </c>
      <c r="K1596" t="s">
        <v>20</v>
      </c>
      <c r="L1596" t="s">
        <v>2996</v>
      </c>
      <c r="M1596" s="3" t="str">
        <f>HYPERLINK("..\..\Imagery\ScannedPhotos\1985\CG85-147.jpg")</f>
        <v>..\..\Imagery\ScannedPhotos\1985\CG85-147.jpg</v>
      </c>
    </row>
    <row r="1597" spans="1:13" x14ac:dyDescent="0.25">
      <c r="A1597" t="s">
        <v>2700</v>
      </c>
      <c r="B1597">
        <v>471601</v>
      </c>
      <c r="C1597">
        <v>5936860</v>
      </c>
      <c r="D1597">
        <v>21</v>
      </c>
      <c r="E1597" t="s">
        <v>15</v>
      </c>
      <c r="F1597" t="s">
        <v>4204</v>
      </c>
      <c r="G1597">
        <v>3</v>
      </c>
      <c r="H1597" t="s">
        <v>1480</v>
      </c>
      <c r="I1597" t="s">
        <v>304</v>
      </c>
      <c r="J1597" t="s">
        <v>48</v>
      </c>
      <c r="K1597" t="s">
        <v>20</v>
      </c>
      <c r="L1597" t="s">
        <v>2703</v>
      </c>
      <c r="M1597" s="3" t="str">
        <f>HYPERLINK("..\..\Imagery\ScannedPhotos\1981\CG81-162.2.jpg")</f>
        <v>..\..\Imagery\ScannedPhotos\1981\CG81-162.2.jpg</v>
      </c>
    </row>
    <row r="1598" spans="1:13" x14ac:dyDescent="0.25">
      <c r="A1598" t="s">
        <v>4205</v>
      </c>
      <c r="B1598">
        <v>463160</v>
      </c>
      <c r="C1598">
        <v>5945600</v>
      </c>
      <c r="D1598">
        <v>21</v>
      </c>
      <c r="E1598" t="s">
        <v>15</v>
      </c>
      <c r="F1598" t="s">
        <v>4206</v>
      </c>
      <c r="G1598">
        <v>1</v>
      </c>
      <c r="H1598" t="s">
        <v>845</v>
      </c>
      <c r="I1598" t="s">
        <v>217</v>
      </c>
      <c r="J1598" t="s">
        <v>48</v>
      </c>
      <c r="K1598" t="s">
        <v>20</v>
      </c>
      <c r="L1598" t="s">
        <v>4207</v>
      </c>
      <c r="M1598" s="3" t="str">
        <f>HYPERLINK("..\..\Imagery\ScannedPhotos\1981\CG81-489.jpg")</f>
        <v>..\..\Imagery\ScannedPhotos\1981\CG81-489.jpg</v>
      </c>
    </row>
    <row r="1599" spans="1:13" x14ac:dyDescent="0.25">
      <c r="A1599" t="s">
        <v>2244</v>
      </c>
      <c r="B1599">
        <v>402144</v>
      </c>
      <c r="C1599">
        <v>5957726</v>
      </c>
      <c r="D1599">
        <v>21</v>
      </c>
      <c r="E1599" t="s">
        <v>15</v>
      </c>
      <c r="F1599" t="s">
        <v>4208</v>
      </c>
      <c r="G1599">
        <v>7</v>
      </c>
      <c r="H1599" t="s">
        <v>2246</v>
      </c>
      <c r="I1599" t="s">
        <v>119</v>
      </c>
      <c r="J1599" t="s">
        <v>2247</v>
      </c>
      <c r="K1599" t="s">
        <v>20</v>
      </c>
      <c r="L1599" t="s">
        <v>2250</v>
      </c>
      <c r="M1599" s="3" t="str">
        <f>HYPERLINK("..\..\Imagery\ScannedPhotos\1981\CG81-556.3.jpg")</f>
        <v>..\..\Imagery\ScannedPhotos\1981\CG81-556.3.jpg</v>
      </c>
    </row>
    <row r="1600" spans="1:13" x14ac:dyDescent="0.25">
      <c r="A1600" t="s">
        <v>2244</v>
      </c>
      <c r="B1600">
        <v>402144</v>
      </c>
      <c r="C1600">
        <v>5957726</v>
      </c>
      <c r="D1600">
        <v>21</v>
      </c>
      <c r="E1600" t="s">
        <v>15</v>
      </c>
      <c r="F1600" t="s">
        <v>4209</v>
      </c>
      <c r="G1600">
        <v>7</v>
      </c>
      <c r="H1600" t="s">
        <v>2246</v>
      </c>
      <c r="I1600" t="s">
        <v>108</v>
      </c>
      <c r="J1600" t="s">
        <v>2247</v>
      </c>
      <c r="K1600" t="s">
        <v>20</v>
      </c>
      <c r="L1600" t="s">
        <v>2250</v>
      </c>
      <c r="M1600" s="3" t="str">
        <f>HYPERLINK("..\..\Imagery\ScannedPhotos\1981\CG81-556.6.jpg")</f>
        <v>..\..\Imagery\ScannedPhotos\1981\CG81-556.6.jpg</v>
      </c>
    </row>
    <row r="1601" spans="1:13" x14ac:dyDescent="0.25">
      <c r="A1601" t="s">
        <v>620</v>
      </c>
      <c r="B1601">
        <v>377488</v>
      </c>
      <c r="C1601">
        <v>5977094</v>
      </c>
      <c r="D1601">
        <v>21</v>
      </c>
      <c r="E1601" t="s">
        <v>15</v>
      </c>
      <c r="F1601" t="s">
        <v>4210</v>
      </c>
      <c r="G1601">
        <v>3</v>
      </c>
      <c r="H1601" t="s">
        <v>622</v>
      </c>
      <c r="I1601" t="s">
        <v>209</v>
      </c>
      <c r="J1601" t="s">
        <v>623</v>
      </c>
      <c r="K1601" t="s">
        <v>228</v>
      </c>
      <c r="L1601" t="s">
        <v>624</v>
      </c>
      <c r="M1601" s="3" t="str">
        <f>HYPERLINK("..\..\Imagery\ScannedPhotos\1980\NN80-156.3.jpg")</f>
        <v>..\..\Imagery\ScannedPhotos\1980\NN80-156.3.jpg</v>
      </c>
    </row>
    <row r="1602" spans="1:13" x14ac:dyDescent="0.25">
      <c r="A1602" t="s">
        <v>4211</v>
      </c>
      <c r="B1602">
        <v>468581</v>
      </c>
      <c r="C1602">
        <v>6004991</v>
      </c>
      <c r="D1602">
        <v>21</v>
      </c>
      <c r="E1602" t="s">
        <v>15</v>
      </c>
      <c r="F1602" t="s">
        <v>4212</v>
      </c>
      <c r="G1602">
        <v>3</v>
      </c>
      <c r="H1602" t="s">
        <v>1326</v>
      </c>
      <c r="I1602" t="s">
        <v>401</v>
      </c>
      <c r="J1602" t="s">
        <v>95</v>
      </c>
      <c r="K1602" t="s">
        <v>228</v>
      </c>
      <c r="L1602" t="s">
        <v>4213</v>
      </c>
      <c r="M1602" s="3" t="str">
        <f>HYPERLINK("..\..\Imagery\ScannedPhotos\1980\CG80-323.3.jpg")</f>
        <v>..\..\Imagery\ScannedPhotos\1980\CG80-323.3.jpg</v>
      </c>
    </row>
    <row r="1603" spans="1:13" x14ac:dyDescent="0.25">
      <c r="A1603" t="s">
        <v>4214</v>
      </c>
      <c r="B1603">
        <v>452303</v>
      </c>
      <c r="C1603">
        <v>6007715</v>
      </c>
      <c r="D1603">
        <v>21</v>
      </c>
      <c r="E1603" t="s">
        <v>15</v>
      </c>
      <c r="F1603" t="s">
        <v>4215</v>
      </c>
      <c r="G1603">
        <v>2</v>
      </c>
      <c r="H1603" t="s">
        <v>1636</v>
      </c>
      <c r="I1603" t="s">
        <v>41</v>
      </c>
      <c r="J1603" t="s">
        <v>652</v>
      </c>
      <c r="K1603" t="s">
        <v>20</v>
      </c>
      <c r="L1603" t="s">
        <v>4216</v>
      </c>
      <c r="M1603" s="3" t="str">
        <f>HYPERLINK("..\..\Imagery\ScannedPhotos\1980\CG80-303.1.jpg")</f>
        <v>..\..\Imagery\ScannedPhotos\1980\CG80-303.1.jpg</v>
      </c>
    </row>
    <row r="1604" spans="1:13" x14ac:dyDescent="0.25">
      <c r="A1604" t="s">
        <v>4214</v>
      </c>
      <c r="B1604">
        <v>452303</v>
      </c>
      <c r="C1604">
        <v>6007715</v>
      </c>
      <c r="D1604">
        <v>21</v>
      </c>
      <c r="E1604" t="s">
        <v>15</v>
      </c>
      <c r="F1604" t="s">
        <v>4217</v>
      </c>
      <c r="G1604">
        <v>2</v>
      </c>
      <c r="H1604" t="s">
        <v>1636</v>
      </c>
      <c r="I1604" t="s">
        <v>85</v>
      </c>
      <c r="J1604" t="s">
        <v>652</v>
      </c>
      <c r="K1604" t="s">
        <v>20</v>
      </c>
      <c r="L1604" t="s">
        <v>4218</v>
      </c>
      <c r="M1604" s="3" t="str">
        <f>HYPERLINK("..\..\Imagery\ScannedPhotos\1980\CG80-303.2.jpg")</f>
        <v>..\..\Imagery\ScannedPhotos\1980\CG80-303.2.jpg</v>
      </c>
    </row>
    <row r="1605" spans="1:13" x14ac:dyDescent="0.25">
      <c r="A1605" t="s">
        <v>4219</v>
      </c>
      <c r="B1605">
        <v>578681</v>
      </c>
      <c r="C1605">
        <v>5860842</v>
      </c>
      <c r="D1605">
        <v>21</v>
      </c>
      <c r="E1605" t="s">
        <v>15</v>
      </c>
      <c r="F1605" t="s">
        <v>4220</v>
      </c>
      <c r="G1605">
        <v>2</v>
      </c>
      <c r="H1605" t="s">
        <v>874</v>
      </c>
      <c r="I1605" t="s">
        <v>119</v>
      </c>
      <c r="J1605" t="s">
        <v>300</v>
      </c>
      <c r="K1605" t="s">
        <v>56</v>
      </c>
      <c r="L1605" t="s">
        <v>4221</v>
      </c>
      <c r="M1605" s="3" t="str">
        <f>HYPERLINK("..\..\Imagery\ScannedPhotos\1986\SN86-319.2.jpg")</f>
        <v>..\..\Imagery\ScannedPhotos\1986\SN86-319.2.jpg</v>
      </c>
    </row>
    <row r="1606" spans="1:13" x14ac:dyDescent="0.25">
      <c r="A1606" t="s">
        <v>4222</v>
      </c>
      <c r="B1606">
        <v>579071</v>
      </c>
      <c r="C1606">
        <v>5860225</v>
      </c>
      <c r="D1606">
        <v>21</v>
      </c>
      <c r="E1606" t="s">
        <v>15</v>
      </c>
      <c r="F1606" t="s">
        <v>4223</v>
      </c>
      <c r="G1606">
        <v>1</v>
      </c>
      <c r="H1606" t="s">
        <v>874</v>
      </c>
      <c r="I1606" t="s">
        <v>122</v>
      </c>
      <c r="J1606" t="s">
        <v>300</v>
      </c>
      <c r="K1606" t="s">
        <v>20</v>
      </c>
      <c r="L1606" t="s">
        <v>642</v>
      </c>
      <c r="M1606" s="3" t="str">
        <f>HYPERLINK("..\..\Imagery\ScannedPhotos\1986\SN86-321.jpg")</f>
        <v>..\..\Imagery\ScannedPhotos\1986\SN86-321.jpg</v>
      </c>
    </row>
    <row r="1607" spans="1:13" x14ac:dyDescent="0.25">
      <c r="A1607" t="s">
        <v>4224</v>
      </c>
      <c r="B1607">
        <v>591203</v>
      </c>
      <c r="C1607">
        <v>5800882</v>
      </c>
      <c r="D1607">
        <v>21</v>
      </c>
      <c r="E1607" t="s">
        <v>15</v>
      </c>
      <c r="F1607" t="s">
        <v>4225</v>
      </c>
      <c r="G1607">
        <v>4</v>
      </c>
      <c r="H1607" t="s">
        <v>1051</v>
      </c>
      <c r="I1607" t="s">
        <v>209</v>
      </c>
      <c r="J1607" t="s">
        <v>1052</v>
      </c>
      <c r="K1607" t="s">
        <v>20</v>
      </c>
      <c r="L1607" t="s">
        <v>2300</v>
      </c>
      <c r="M1607" s="3" t="str">
        <f>HYPERLINK("..\..\Imagery\ScannedPhotos\1987\VN87-455.3.jpg")</f>
        <v>..\..\Imagery\ScannedPhotos\1987\VN87-455.3.jpg</v>
      </c>
    </row>
    <row r="1608" spans="1:13" x14ac:dyDescent="0.25">
      <c r="A1608" t="s">
        <v>4224</v>
      </c>
      <c r="B1608">
        <v>591203</v>
      </c>
      <c r="C1608">
        <v>5800882</v>
      </c>
      <c r="D1608">
        <v>21</v>
      </c>
      <c r="E1608" t="s">
        <v>15</v>
      </c>
      <c r="F1608" t="s">
        <v>4226</v>
      </c>
      <c r="G1608">
        <v>4</v>
      </c>
      <c r="H1608" t="s">
        <v>1051</v>
      </c>
      <c r="I1608" t="s">
        <v>375</v>
      </c>
      <c r="J1608" t="s">
        <v>1052</v>
      </c>
      <c r="K1608" t="s">
        <v>20</v>
      </c>
      <c r="L1608" t="s">
        <v>4227</v>
      </c>
      <c r="M1608" s="3" t="str">
        <f>HYPERLINK("..\..\Imagery\ScannedPhotos\1987\VN87-455.1.jpg")</f>
        <v>..\..\Imagery\ScannedPhotos\1987\VN87-455.1.jpg</v>
      </c>
    </row>
    <row r="1609" spans="1:13" x14ac:dyDescent="0.25">
      <c r="A1609" t="s">
        <v>4224</v>
      </c>
      <c r="B1609">
        <v>591203</v>
      </c>
      <c r="C1609">
        <v>5800882</v>
      </c>
      <c r="D1609">
        <v>21</v>
      </c>
      <c r="E1609" t="s">
        <v>15</v>
      </c>
      <c r="F1609" t="s">
        <v>4228</v>
      </c>
      <c r="G1609">
        <v>4</v>
      </c>
      <c r="H1609" t="s">
        <v>1051</v>
      </c>
      <c r="I1609" t="s">
        <v>94</v>
      </c>
      <c r="J1609" t="s">
        <v>1052</v>
      </c>
      <c r="K1609" t="s">
        <v>20</v>
      </c>
      <c r="L1609" t="s">
        <v>4229</v>
      </c>
      <c r="M1609" s="3" t="str">
        <f>HYPERLINK("..\..\Imagery\ScannedPhotos\1987\VN87-455.2.jpg")</f>
        <v>..\..\Imagery\ScannedPhotos\1987\VN87-455.2.jpg</v>
      </c>
    </row>
    <row r="1610" spans="1:13" x14ac:dyDescent="0.25">
      <c r="A1610" t="s">
        <v>4224</v>
      </c>
      <c r="B1610">
        <v>591203</v>
      </c>
      <c r="C1610">
        <v>5800882</v>
      </c>
      <c r="D1610">
        <v>21</v>
      </c>
      <c r="E1610" t="s">
        <v>15</v>
      </c>
      <c r="F1610" t="s">
        <v>4230</v>
      </c>
      <c r="G1610">
        <v>4</v>
      </c>
      <c r="H1610" t="s">
        <v>1051</v>
      </c>
      <c r="I1610" t="s">
        <v>386</v>
      </c>
      <c r="J1610" t="s">
        <v>1052</v>
      </c>
      <c r="K1610" t="s">
        <v>20</v>
      </c>
      <c r="L1610" t="s">
        <v>4231</v>
      </c>
      <c r="M1610" s="3" t="str">
        <f>HYPERLINK("..\..\Imagery\ScannedPhotos\1987\VN87-455.4.jpg")</f>
        <v>..\..\Imagery\ScannedPhotos\1987\VN87-455.4.jpg</v>
      </c>
    </row>
    <row r="1611" spans="1:13" x14ac:dyDescent="0.25">
      <c r="A1611" t="s">
        <v>4232</v>
      </c>
      <c r="B1611">
        <v>590044</v>
      </c>
      <c r="C1611">
        <v>5800970</v>
      </c>
      <c r="D1611">
        <v>21</v>
      </c>
      <c r="E1611" t="s">
        <v>15</v>
      </c>
      <c r="F1611" t="s">
        <v>4233</v>
      </c>
      <c r="G1611">
        <v>1</v>
      </c>
      <c r="H1611" t="s">
        <v>1051</v>
      </c>
      <c r="I1611" t="s">
        <v>217</v>
      </c>
      <c r="J1611" t="s">
        <v>1052</v>
      </c>
      <c r="K1611" t="s">
        <v>20</v>
      </c>
      <c r="L1611" t="s">
        <v>4234</v>
      </c>
      <c r="M1611" s="3" t="str">
        <f>HYPERLINK("..\..\Imagery\ScannedPhotos\1987\VN87-457.jpg")</f>
        <v>..\..\Imagery\ScannedPhotos\1987\VN87-457.jpg</v>
      </c>
    </row>
    <row r="1612" spans="1:13" x14ac:dyDescent="0.25">
      <c r="A1612" t="s">
        <v>4235</v>
      </c>
      <c r="B1612">
        <v>593789</v>
      </c>
      <c r="C1612">
        <v>5792364</v>
      </c>
      <c r="D1612">
        <v>21</v>
      </c>
      <c r="E1612" t="s">
        <v>15</v>
      </c>
      <c r="F1612" t="s">
        <v>4236</v>
      </c>
      <c r="G1612">
        <v>1</v>
      </c>
      <c r="H1612" t="s">
        <v>1051</v>
      </c>
      <c r="I1612" t="s">
        <v>647</v>
      </c>
      <c r="J1612" t="s">
        <v>1052</v>
      </c>
      <c r="K1612" t="s">
        <v>20</v>
      </c>
      <c r="L1612" t="s">
        <v>4237</v>
      </c>
      <c r="M1612" s="3" t="str">
        <f>HYPERLINK("..\..\Imagery\ScannedPhotos\1987\VN87-475.jpg")</f>
        <v>..\..\Imagery\ScannedPhotos\1987\VN87-475.jpg</v>
      </c>
    </row>
    <row r="1613" spans="1:13" x14ac:dyDescent="0.25">
      <c r="A1613" t="s">
        <v>4238</v>
      </c>
      <c r="B1613">
        <v>593846</v>
      </c>
      <c r="C1613">
        <v>5792664</v>
      </c>
      <c r="D1613">
        <v>21</v>
      </c>
      <c r="E1613" t="s">
        <v>15</v>
      </c>
      <c r="F1613" t="s">
        <v>4239</v>
      </c>
      <c r="G1613">
        <v>1</v>
      </c>
      <c r="H1613" t="s">
        <v>1051</v>
      </c>
      <c r="I1613" t="s">
        <v>30</v>
      </c>
      <c r="J1613" t="s">
        <v>1052</v>
      </c>
      <c r="K1613" t="s">
        <v>20</v>
      </c>
      <c r="L1613" t="s">
        <v>4240</v>
      </c>
      <c r="M1613" s="3" t="str">
        <f>HYPERLINK("..\..\Imagery\ScannedPhotos\1987\VN87-476.jpg")</f>
        <v>..\..\Imagery\ScannedPhotos\1987\VN87-476.jpg</v>
      </c>
    </row>
    <row r="1614" spans="1:13" x14ac:dyDescent="0.25">
      <c r="A1614" t="s">
        <v>4241</v>
      </c>
      <c r="B1614">
        <v>592792</v>
      </c>
      <c r="C1614">
        <v>5792229</v>
      </c>
      <c r="D1614">
        <v>21</v>
      </c>
      <c r="E1614" t="s">
        <v>15</v>
      </c>
      <c r="F1614" t="s">
        <v>4242</v>
      </c>
      <c r="G1614">
        <v>1</v>
      </c>
      <c r="H1614" t="s">
        <v>1051</v>
      </c>
      <c r="I1614" t="s">
        <v>114</v>
      </c>
      <c r="J1614" t="s">
        <v>1052</v>
      </c>
      <c r="K1614" t="s">
        <v>20</v>
      </c>
      <c r="L1614" t="s">
        <v>4243</v>
      </c>
      <c r="M1614" s="3" t="str">
        <f>HYPERLINK("..\..\Imagery\ScannedPhotos\1987\VN87-478.jpg")</f>
        <v>..\..\Imagery\ScannedPhotos\1987\VN87-478.jpg</v>
      </c>
    </row>
    <row r="1615" spans="1:13" x14ac:dyDescent="0.25">
      <c r="A1615" t="s">
        <v>4244</v>
      </c>
      <c r="B1615">
        <v>506687</v>
      </c>
      <c r="C1615">
        <v>5734408</v>
      </c>
      <c r="D1615">
        <v>21</v>
      </c>
      <c r="E1615" t="s">
        <v>15</v>
      </c>
      <c r="F1615" t="s">
        <v>4245</v>
      </c>
      <c r="G1615">
        <v>1</v>
      </c>
      <c r="H1615" t="s">
        <v>1513</v>
      </c>
      <c r="I1615" t="s">
        <v>222</v>
      </c>
      <c r="J1615" t="s">
        <v>1514</v>
      </c>
      <c r="K1615" t="s">
        <v>20</v>
      </c>
      <c r="L1615" t="s">
        <v>4246</v>
      </c>
      <c r="M1615" s="3" t="str">
        <f>HYPERLINK("..\..\Imagery\ScannedPhotos\1993\CG93-423.jpg")</f>
        <v>..\..\Imagery\ScannedPhotos\1993\CG93-423.jpg</v>
      </c>
    </row>
    <row r="1616" spans="1:13" x14ac:dyDescent="0.25">
      <c r="A1616" t="s">
        <v>3424</v>
      </c>
      <c r="B1616">
        <v>565737</v>
      </c>
      <c r="C1616">
        <v>5748995</v>
      </c>
      <c r="D1616">
        <v>21</v>
      </c>
      <c r="E1616" t="s">
        <v>15</v>
      </c>
      <c r="F1616" t="s">
        <v>4247</v>
      </c>
      <c r="G1616">
        <v>4</v>
      </c>
      <c r="H1616" t="s">
        <v>1513</v>
      </c>
      <c r="I1616" t="s">
        <v>25</v>
      </c>
      <c r="J1616" t="s">
        <v>1514</v>
      </c>
      <c r="K1616" t="s">
        <v>56</v>
      </c>
      <c r="L1616" t="s">
        <v>4248</v>
      </c>
      <c r="M1616" s="3" t="str">
        <f>HYPERLINK("..\..\Imagery\ScannedPhotos\1993\CG93-453.2.jpg")</f>
        <v>..\..\Imagery\ScannedPhotos\1993\CG93-453.2.jpg</v>
      </c>
    </row>
    <row r="1617" spans="1:13" x14ac:dyDescent="0.25">
      <c r="A1617" t="s">
        <v>3156</v>
      </c>
      <c r="B1617">
        <v>529988</v>
      </c>
      <c r="C1617">
        <v>5956544</v>
      </c>
      <c r="D1617">
        <v>21</v>
      </c>
      <c r="E1617" t="s">
        <v>15</v>
      </c>
      <c r="F1617" t="s">
        <v>4249</v>
      </c>
      <c r="G1617">
        <v>4</v>
      </c>
      <c r="H1617" t="s">
        <v>3158</v>
      </c>
      <c r="I1617" t="s">
        <v>69</v>
      </c>
      <c r="J1617" t="s">
        <v>48</v>
      </c>
      <c r="K1617" t="s">
        <v>20</v>
      </c>
      <c r="L1617" t="s">
        <v>4250</v>
      </c>
      <c r="M1617" s="3" t="str">
        <f>HYPERLINK("..\..\Imagery\ScannedPhotos\1981\VO81-147.4.jpg")</f>
        <v>..\..\Imagery\ScannedPhotos\1981\VO81-147.4.jpg</v>
      </c>
    </row>
    <row r="1618" spans="1:13" x14ac:dyDescent="0.25">
      <c r="A1618" t="s">
        <v>4251</v>
      </c>
      <c r="B1618">
        <v>506616</v>
      </c>
      <c r="C1618">
        <v>5940821</v>
      </c>
      <c r="D1618">
        <v>21</v>
      </c>
      <c r="E1618" t="s">
        <v>15</v>
      </c>
      <c r="F1618" t="s">
        <v>4252</v>
      </c>
      <c r="G1618">
        <v>1</v>
      </c>
      <c r="H1618" t="s">
        <v>3158</v>
      </c>
      <c r="I1618" t="s">
        <v>222</v>
      </c>
      <c r="J1618" t="s">
        <v>48</v>
      </c>
      <c r="K1618" t="s">
        <v>20</v>
      </c>
      <c r="L1618" t="s">
        <v>4253</v>
      </c>
      <c r="M1618" s="3" t="str">
        <f>HYPERLINK("..\..\Imagery\ScannedPhotos\1981\VO81-225.jpg")</f>
        <v>..\..\Imagery\ScannedPhotos\1981\VO81-225.jpg</v>
      </c>
    </row>
    <row r="1619" spans="1:13" x14ac:dyDescent="0.25">
      <c r="A1619" t="s">
        <v>2835</v>
      </c>
      <c r="B1619">
        <v>452567</v>
      </c>
      <c r="C1619">
        <v>6025283</v>
      </c>
      <c r="D1619">
        <v>21</v>
      </c>
      <c r="E1619" t="s">
        <v>15</v>
      </c>
      <c r="F1619" t="s">
        <v>4254</v>
      </c>
      <c r="G1619">
        <v>3</v>
      </c>
      <c r="H1619" t="s">
        <v>1862</v>
      </c>
      <c r="I1619" t="s">
        <v>222</v>
      </c>
      <c r="J1619" t="s">
        <v>1863</v>
      </c>
      <c r="K1619" t="s">
        <v>20</v>
      </c>
      <c r="L1619" t="s">
        <v>4255</v>
      </c>
      <c r="M1619" s="3" t="str">
        <f>HYPERLINK("..\..\Imagery\ScannedPhotos\1979\CG79-791.3.jpg")</f>
        <v>..\..\Imagery\ScannedPhotos\1979\CG79-791.3.jpg</v>
      </c>
    </row>
    <row r="1620" spans="1:13" x14ac:dyDescent="0.25">
      <c r="A1620" t="s">
        <v>4256</v>
      </c>
      <c r="B1620">
        <v>487659</v>
      </c>
      <c r="C1620">
        <v>6046304</v>
      </c>
      <c r="D1620">
        <v>21</v>
      </c>
      <c r="E1620" t="s">
        <v>15</v>
      </c>
      <c r="F1620" t="s">
        <v>4257</v>
      </c>
      <c r="G1620">
        <v>2</v>
      </c>
      <c r="H1620" t="s">
        <v>1066</v>
      </c>
      <c r="I1620" t="s">
        <v>65</v>
      </c>
      <c r="J1620" t="s">
        <v>36</v>
      </c>
      <c r="K1620" t="s">
        <v>535</v>
      </c>
      <c r="L1620" t="s">
        <v>4258</v>
      </c>
      <c r="M1620" s="3" t="str">
        <f>HYPERLINK("..\..\Imagery\ScannedPhotos\1987\US87-003.1.jpg")</f>
        <v>..\..\Imagery\ScannedPhotos\1987\US87-003.1.jpg</v>
      </c>
    </row>
    <row r="1621" spans="1:13" x14ac:dyDescent="0.25">
      <c r="A1621" t="s">
        <v>4256</v>
      </c>
      <c r="B1621">
        <v>487659</v>
      </c>
      <c r="C1621">
        <v>6046304</v>
      </c>
      <c r="D1621">
        <v>21</v>
      </c>
      <c r="E1621" t="s">
        <v>15</v>
      </c>
      <c r="F1621" t="s">
        <v>4259</v>
      </c>
      <c r="G1621">
        <v>2</v>
      </c>
      <c r="H1621" t="s">
        <v>1066</v>
      </c>
      <c r="I1621" t="s">
        <v>401</v>
      </c>
      <c r="J1621" t="s">
        <v>36</v>
      </c>
      <c r="K1621" t="s">
        <v>535</v>
      </c>
      <c r="L1621" t="s">
        <v>4260</v>
      </c>
      <c r="M1621" s="3" t="str">
        <f>HYPERLINK("..\..\Imagery\ScannedPhotos\1987\US87-003.2.jpg")</f>
        <v>..\..\Imagery\ScannedPhotos\1987\US87-003.2.jpg</v>
      </c>
    </row>
    <row r="1622" spans="1:13" x14ac:dyDescent="0.25">
      <c r="A1622" t="s">
        <v>4261</v>
      </c>
      <c r="B1622">
        <v>567789</v>
      </c>
      <c r="C1622">
        <v>5933508</v>
      </c>
      <c r="D1622">
        <v>21</v>
      </c>
      <c r="E1622" t="s">
        <v>15</v>
      </c>
      <c r="F1622" t="s">
        <v>4262</v>
      </c>
      <c r="G1622">
        <v>3</v>
      </c>
      <c r="H1622" t="s">
        <v>1582</v>
      </c>
      <c r="I1622" t="s">
        <v>375</v>
      </c>
      <c r="J1622" t="s">
        <v>1583</v>
      </c>
      <c r="K1622" t="s">
        <v>20</v>
      </c>
      <c r="L1622" t="s">
        <v>4263</v>
      </c>
      <c r="M1622" s="3" t="str">
        <f>HYPERLINK("..\..\Imagery\ScannedPhotos\1985\GM85-653.1.jpg")</f>
        <v>..\..\Imagery\ScannedPhotos\1985\GM85-653.1.jpg</v>
      </c>
    </row>
    <row r="1623" spans="1:13" x14ac:dyDescent="0.25">
      <c r="A1623" t="s">
        <v>4261</v>
      </c>
      <c r="B1623">
        <v>567789</v>
      </c>
      <c r="C1623">
        <v>5933508</v>
      </c>
      <c r="D1623">
        <v>21</v>
      </c>
      <c r="E1623" t="s">
        <v>15</v>
      </c>
      <c r="F1623" t="s">
        <v>4264</v>
      </c>
      <c r="G1623">
        <v>3</v>
      </c>
      <c r="H1623" t="s">
        <v>1582</v>
      </c>
      <c r="I1623" t="s">
        <v>94</v>
      </c>
      <c r="J1623" t="s">
        <v>1583</v>
      </c>
      <c r="K1623" t="s">
        <v>20</v>
      </c>
      <c r="L1623" t="s">
        <v>4263</v>
      </c>
      <c r="M1623" s="3" t="str">
        <f>HYPERLINK("..\..\Imagery\ScannedPhotos\1985\GM85-653.2.jpg")</f>
        <v>..\..\Imagery\ScannedPhotos\1985\GM85-653.2.jpg</v>
      </c>
    </row>
    <row r="1624" spans="1:13" x14ac:dyDescent="0.25">
      <c r="A1624" t="s">
        <v>2482</v>
      </c>
      <c r="B1624">
        <v>593253</v>
      </c>
      <c r="C1624">
        <v>5785005</v>
      </c>
      <c r="D1624">
        <v>21</v>
      </c>
      <c r="E1624" t="s">
        <v>15</v>
      </c>
      <c r="F1624" t="s">
        <v>4265</v>
      </c>
      <c r="G1624">
        <v>6</v>
      </c>
      <c r="H1624" t="s">
        <v>17</v>
      </c>
      <c r="I1624" t="s">
        <v>122</v>
      </c>
      <c r="J1624" t="s">
        <v>19</v>
      </c>
      <c r="K1624" t="s">
        <v>20</v>
      </c>
      <c r="L1624" t="s">
        <v>4266</v>
      </c>
      <c r="M1624" s="3" t="str">
        <f>HYPERLINK("..\..\Imagery\ScannedPhotos\1987\CG87-445.5.jpg")</f>
        <v>..\..\Imagery\ScannedPhotos\1987\CG87-445.5.jpg</v>
      </c>
    </row>
    <row r="1625" spans="1:13" x14ac:dyDescent="0.25">
      <c r="A1625" t="s">
        <v>4267</v>
      </c>
      <c r="B1625">
        <v>593765</v>
      </c>
      <c r="C1625">
        <v>5785145</v>
      </c>
      <c r="D1625">
        <v>21</v>
      </c>
      <c r="E1625" t="s">
        <v>15</v>
      </c>
      <c r="F1625" t="s">
        <v>4268</v>
      </c>
      <c r="G1625">
        <v>1</v>
      </c>
      <c r="H1625" t="s">
        <v>17</v>
      </c>
      <c r="I1625" t="s">
        <v>108</v>
      </c>
      <c r="J1625" t="s">
        <v>19</v>
      </c>
      <c r="K1625" t="s">
        <v>20</v>
      </c>
      <c r="L1625" t="s">
        <v>4269</v>
      </c>
      <c r="M1625" s="3" t="str">
        <f>HYPERLINK("..\..\Imagery\ScannedPhotos\1987\CG87-446.jpg")</f>
        <v>..\..\Imagery\ScannedPhotos\1987\CG87-446.jpg</v>
      </c>
    </row>
    <row r="1626" spans="1:13" x14ac:dyDescent="0.25">
      <c r="A1626" t="s">
        <v>4270</v>
      </c>
      <c r="B1626">
        <v>587557</v>
      </c>
      <c r="C1626">
        <v>5792659</v>
      </c>
      <c r="D1626">
        <v>21</v>
      </c>
      <c r="E1626" t="s">
        <v>15</v>
      </c>
      <c r="F1626" t="s">
        <v>4271</v>
      </c>
      <c r="G1626">
        <v>2</v>
      </c>
      <c r="H1626" t="s">
        <v>2984</v>
      </c>
      <c r="I1626" t="s">
        <v>129</v>
      </c>
      <c r="J1626" t="s">
        <v>19</v>
      </c>
      <c r="K1626" t="s">
        <v>20</v>
      </c>
      <c r="L1626" t="s">
        <v>4272</v>
      </c>
      <c r="M1626" s="3" t="str">
        <f>HYPERLINK("..\..\Imagery\ScannedPhotos\1987\CG87-477.1.jpg")</f>
        <v>..\..\Imagery\ScannedPhotos\1987\CG87-477.1.jpg</v>
      </c>
    </row>
    <row r="1627" spans="1:13" x14ac:dyDescent="0.25">
      <c r="A1627" t="s">
        <v>4273</v>
      </c>
      <c r="B1627">
        <v>504781</v>
      </c>
      <c r="C1627">
        <v>6034276</v>
      </c>
      <c r="D1627">
        <v>21</v>
      </c>
      <c r="E1627" t="s">
        <v>15</v>
      </c>
      <c r="F1627" t="s">
        <v>4274</v>
      </c>
      <c r="G1627">
        <v>2</v>
      </c>
      <c r="H1627" t="s">
        <v>835</v>
      </c>
      <c r="I1627" t="s">
        <v>386</v>
      </c>
      <c r="J1627" t="s">
        <v>423</v>
      </c>
      <c r="K1627" t="s">
        <v>20</v>
      </c>
      <c r="L1627" t="s">
        <v>4275</v>
      </c>
      <c r="M1627" s="3" t="str">
        <f>HYPERLINK("..\..\Imagery\ScannedPhotos\1979\CG79-346.2.jpg")</f>
        <v>..\..\Imagery\ScannedPhotos\1979\CG79-346.2.jpg</v>
      </c>
    </row>
    <row r="1628" spans="1:13" x14ac:dyDescent="0.25">
      <c r="A1628" t="s">
        <v>4276</v>
      </c>
      <c r="B1628">
        <v>503730</v>
      </c>
      <c r="C1628">
        <v>6034229</v>
      </c>
      <c r="D1628">
        <v>21</v>
      </c>
      <c r="E1628" t="s">
        <v>15</v>
      </c>
      <c r="F1628" t="s">
        <v>4277</v>
      </c>
      <c r="G1628">
        <v>5</v>
      </c>
      <c r="H1628" t="s">
        <v>835</v>
      </c>
      <c r="I1628" t="s">
        <v>304</v>
      </c>
      <c r="J1628" t="s">
        <v>423</v>
      </c>
      <c r="K1628" t="s">
        <v>228</v>
      </c>
      <c r="L1628" t="s">
        <v>4278</v>
      </c>
      <c r="M1628" s="3" t="str">
        <f>HYPERLINK("..\..\Imagery\ScannedPhotos\1979\CG79-347.5.jpg")</f>
        <v>..\..\Imagery\ScannedPhotos\1979\CG79-347.5.jpg</v>
      </c>
    </row>
    <row r="1629" spans="1:13" x14ac:dyDescent="0.25">
      <c r="A1629" t="s">
        <v>4276</v>
      </c>
      <c r="B1629">
        <v>503730</v>
      </c>
      <c r="C1629">
        <v>6034229</v>
      </c>
      <c r="D1629">
        <v>21</v>
      </c>
      <c r="E1629" t="s">
        <v>15</v>
      </c>
      <c r="F1629" t="s">
        <v>4279</v>
      </c>
      <c r="G1629">
        <v>5</v>
      </c>
      <c r="H1629" t="s">
        <v>835</v>
      </c>
      <c r="I1629" t="s">
        <v>214</v>
      </c>
      <c r="J1629" t="s">
        <v>423</v>
      </c>
      <c r="K1629" t="s">
        <v>20</v>
      </c>
      <c r="L1629" t="s">
        <v>4280</v>
      </c>
      <c r="M1629" s="3" t="str">
        <f>HYPERLINK("..\..\Imagery\ScannedPhotos\1979\CG79-347.2.jpg")</f>
        <v>..\..\Imagery\ScannedPhotos\1979\CG79-347.2.jpg</v>
      </c>
    </row>
    <row r="1630" spans="1:13" x14ac:dyDescent="0.25">
      <c r="A1630" t="s">
        <v>4281</v>
      </c>
      <c r="B1630">
        <v>475940</v>
      </c>
      <c r="C1630">
        <v>6001196</v>
      </c>
      <c r="D1630">
        <v>21</v>
      </c>
      <c r="E1630" t="s">
        <v>15</v>
      </c>
      <c r="F1630" t="s">
        <v>4282</v>
      </c>
      <c r="G1630">
        <v>1</v>
      </c>
      <c r="H1630" t="s">
        <v>1326</v>
      </c>
      <c r="I1630" t="s">
        <v>122</v>
      </c>
      <c r="J1630" t="s">
        <v>95</v>
      </c>
      <c r="K1630" t="s">
        <v>56</v>
      </c>
      <c r="L1630" t="s">
        <v>4283</v>
      </c>
      <c r="M1630" s="3" t="str">
        <f>HYPERLINK("..\..\Imagery\ScannedPhotos\1980\CG80-388.jpg")</f>
        <v>..\..\Imagery\ScannedPhotos\1980\CG80-388.jpg</v>
      </c>
    </row>
    <row r="1631" spans="1:13" x14ac:dyDescent="0.25">
      <c r="A1631" t="s">
        <v>4284</v>
      </c>
      <c r="B1631">
        <v>475978</v>
      </c>
      <c r="C1631">
        <v>6000821</v>
      </c>
      <c r="D1631">
        <v>21</v>
      </c>
      <c r="E1631" t="s">
        <v>15</v>
      </c>
      <c r="F1631" t="s">
        <v>4285</v>
      </c>
      <c r="G1631">
        <v>1</v>
      </c>
      <c r="H1631" t="s">
        <v>1326</v>
      </c>
      <c r="I1631" t="s">
        <v>126</v>
      </c>
      <c r="J1631" t="s">
        <v>95</v>
      </c>
      <c r="K1631" t="s">
        <v>20</v>
      </c>
      <c r="L1631" t="s">
        <v>4286</v>
      </c>
      <c r="M1631" s="3" t="str">
        <f>HYPERLINK("..\..\Imagery\ScannedPhotos\1980\CG80-389.jpg")</f>
        <v>..\..\Imagery\ScannedPhotos\1980\CG80-389.jpg</v>
      </c>
    </row>
    <row r="1632" spans="1:13" x14ac:dyDescent="0.25">
      <c r="A1632" t="s">
        <v>4287</v>
      </c>
      <c r="B1632">
        <v>464928</v>
      </c>
      <c r="C1632">
        <v>5895359</v>
      </c>
      <c r="D1632">
        <v>21</v>
      </c>
      <c r="E1632" t="s">
        <v>15</v>
      </c>
      <c r="F1632" t="s">
        <v>4288</v>
      </c>
      <c r="G1632">
        <v>2</v>
      </c>
      <c r="K1632" t="s">
        <v>56</v>
      </c>
      <c r="L1632" t="s">
        <v>2810</v>
      </c>
      <c r="M1632" s="3" t="str">
        <f>HYPERLINK("..\..\Imagery\ScannedPhotos\2004\CG04-229.1.jpg")</f>
        <v>..\..\Imagery\ScannedPhotos\2004\CG04-229.1.jpg</v>
      </c>
    </row>
    <row r="1633" spans="1:14" x14ac:dyDescent="0.25">
      <c r="A1633" t="s">
        <v>4287</v>
      </c>
      <c r="B1633">
        <v>464928</v>
      </c>
      <c r="C1633">
        <v>5895359</v>
      </c>
      <c r="D1633">
        <v>21</v>
      </c>
      <c r="E1633" t="s">
        <v>15</v>
      </c>
      <c r="F1633" t="s">
        <v>4289</v>
      </c>
      <c r="G1633">
        <v>2</v>
      </c>
      <c r="K1633" t="s">
        <v>56</v>
      </c>
      <c r="L1633" t="s">
        <v>4290</v>
      </c>
      <c r="M1633" s="3" t="str">
        <f>HYPERLINK("..\..\Imagery\ScannedPhotos\2004\CG04-229.2.jpg")</f>
        <v>..\..\Imagery\ScannedPhotos\2004\CG04-229.2.jpg</v>
      </c>
    </row>
    <row r="1634" spans="1:14" x14ac:dyDescent="0.25">
      <c r="A1634" t="s">
        <v>4291</v>
      </c>
      <c r="B1634">
        <v>464912</v>
      </c>
      <c r="C1634">
        <v>5895257</v>
      </c>
      <c r="D1634">
        <v>21</v>
      </c>
      <c r="E1634" t="s">
        <v>15</v>
      </c>
      <c r="F1634" t="s">
        <v>4292</v>
      </c>
      <c r="G1634">
        <v>1</v>
      </c>
      <c r="K1634" t="s">
        <v>56</v>
      </c>
      <c r="L1634" t="s">
        <v>4293</v>
      </c>
      <c r="M1634" s="3" t="str">
        <f>HYPERLINK("..\..\Imagery\ScannedPhotos\2004\CG04-230.jpg")</f>
        <v>..\..\Imagery\ScannedPhotos\2004\CG04-230.jpg</v>
      </c>
    </row>
    <row r="1635" spans="1:14" x14ac:dyDescent="0.25">
      <c r="A1635" t="s">
        <v>4294</v>
      </c>
      <c r="B1635">
        <v>448630</v>
      </c>
      <c r="C1635">
        <v>6025179</v>
      </c>
      <c r="D1635">
        <v>21</v>
      </c>
      <c r="E1635" t="s">
        <v>15</v>
      </c>
      <c r="F1635" t="s">
        <v>4295</v>
      </c>
      <c r="G1635">
        <v>1</v>
      </c>
      <c r="H1635" t="s">
        <v>1862</v>
      </c>
      <c r="I1635" t="s">
        <v>195</v>
      </c>
      <c r="J1635" t="s">
        <v>1863</v>
      </c>
      <c r="K1635" t="s">
        <v>20</v>
      </c>
      <c r="L1635" t="s">
        <v>4296</v>
      </c>
      <c r="M1635" s="3" t="str">
        <f>HYPERLINK("..\..\Imagery\ScannedPhotos\1979\CG79-795cropped.jpg")</f>
        <v>..\..\Imagery\ScannedPhotos\1979\CG79-795cropped.jpg</v>
      </c>
      <c r="N1635" t="s">
        <v>4297</v>
      </c>
    </row>
    <row r="1636" spans="1:14" x14ac:dyDescent="0.25">
      <c r="A1636" t="s">
        <v>1860</v>
      </c>
      <c r="B1636">
        <v>447501</v>
      </c>
      <c r="C1636">
        <v>6025387</v>
      </c>
      <c r="D1636">
        <v>21</v>
      </c>
      <c r="E1636" t="s">
        <v>15</v>
      </c>
      <c r="F1636" t="s">
        <v>4298</v>
      </c>
      <c r="G1636">
        <v>2</v>
      </c>
      <c r="H1636" t="s">
        <v>1862</v>
      </c>
      <c r="I1636" t="s">
        <v>25</v>
      </c>
      <c r="J1636" t="s">
        <v>1863</v>
      </c>
      <c r="K1636" t="s">
        <v>20</v>
      </c>
      <c r="L1636" t="s">
        <v>4299</v>
      </c>
      <c r="M1636" s="3" t="str">
        <f>HYPERLINK("..\..\Imagery\ScannedPhotos\1979\CG79-796.1E.jpg")</f>
        <v>..\..\Imagery\ScannedPhotos\1979\CG79-796.1E.jpg</v>
      </c>
      <c r="N1636" t="s">
        <v>1808</v>
      </c>
    </row>
    <row r="1637" spans="1:14" x14ac:dyDescent="0.25">
      <c r="A1637" t="s">
        <v>4300</v>
      </c>
      <c r="B1637">
        <v>448815</v>
      </c>
      <c r="C1637">
        <v>6021676</v>
      </c>
      <c r="D1637">
        <v>21</v>
      </c>
      <c r="E1637" t="s">
        <v>15</v>
      </c>
      <c r="F1637" t="s">
        <v>4301</v>
      </c>
      <c r="G1637">
        <v>2</v>
      </c>
      <c r="H1637" t="s">
        <v>1862</v>
      </c>
      <c r="I1637" t="s">
        <v>126</v>
      </c>
      <c r="J1637" t="s">
        <v>1863</v>
      </c>
      <c r="K1637" t="s">
        <v>56</v>
      </c>
      <c r="L1637" t="s">
        <v>4302</v>
      </c>
      <c r="M1637" s="3" t="str">
        <f>HYPERLINK("..\..\Imagery\ScannedPhotos\1979\CG79-799.2cropped.jpg")</f>
        <v>..\..\Imagery\ScannedPhotos\1979\CG79-799.2cropped.jpg</v>
      </c>
      <c r="N1637" t="s">
        <v>4297</v>
      </c>
    </row>
    <row r="1638" spans="1:14" x14ac:dyDescent="0.25">
      <c r="A1638" t="s">
        <v>32</v>
      </c>
      <c r="B1638">
        <v>596446</v>
      </c>
      <c r="C1638">
        <v>5792950</v>
      </c>
      <c r="D1638">
        <v>21</v>
      </c>
      <c r="E1638" t="s">
        <v>15</v>
      </c>
      <c r="F1638" t="s">
        <v>4303</v>
      </c>
      <c r="G1638">
        <v>40</v>
      </c>
      <c r="H1638" t="s">
        <v>34</v>
      </c>
      <c r="I1638" t="s">
        <v>304</v>
      </c>
      <c r="J1638" t="s">
        <v>36</v>
      </c>
      <c r="K1638" t="s">
        <v>20</v>
      </c>
      <c r="L1638" t="s">
        <v>4304</v>
      </c>
      <c r="M1638" s="3" t="str">
        <f>HYPERLINK("..\..\Imagery\ScannedPhotos\1987\CG87-488.21E.jpg")</f>
        <v>..\..\Imagery\ScannedPhotos\1987\CG87-488.21E.jpg</v>
      </c>
      <c r="N1638" t="s">
        <v>1808</v>
      </c>
    </row>
    <row r="1639" spans="1:14" x14ac:dyDescent="0.25">
      <c r="A1639" t="s">
        <v>32</v>
      </c>
      <c r="B1639">
        <v>596446</v>
      </c>
      <c r="C1639">
        <v>5792950</v>
      </c>
      <c r="D1639">
        <v>21</v>
      </c>
      <c r="E1639" t="s">
        <v>15</v>
      </c>
      <c r="F1639" t="s">
        <v>4305</v>
      </c>
      <c r="G1639">
        <v>40</v>
      </c>
      <c r="H1639" t="s">
        <v>34</v>
      </c>
      <c r="I1639" t="s">
        <v>25</v>
      </c>
      <c r="J1639" t="s">
        <v>36</v>
      </c>
      <c r="K1639" t="s">
        <v>20</v>
      </c>
      <c r="L1639" t="s">
        <v>4304</v>
      </c>
      <c r="M1639" s="3" t="str">
        <f>HYPERLINK("..\..\Imagery\ScannedPhotos\1987\CG87-488.23E.jpg")</f>
        <v>..\..\Imagery\ScannedPhotos\1987\CG87-488.23E.jpg</v>
      </c>
      <c r="N1639" t="s">
        <v>1808</v>
      </c>
    </row>
    <row r="1640" spans="1:14" x14ac:dyDescent="0.25">
      <c r="A1640" t="s">
        <v>32</v>
      </c>
      <c r="B1640">
        <v>596446</v>
      </c>
      <c r="C1640">
        <v>5792950</v>
      </c>
      <c r="D1640">
        <v>21</v>
      </c>
      <c r="E1640" t="s">
        <v>15</v>
      </c>
      <c r="F1640" t="s">
        <v>4306</v>
      </c>
      <c r="G1640">
        <v>40</v>
      </c>
      <c r="H1640" t="s">
        <v>813</v>
      </c>
      <c r="I1640" t="s">
        <v>209</v>
      </c>
      <c r="J1640" t="s">
        <v>814</v>
      </c>
      <c r="K1640" t="s">
        <v>228</v>
      </c>
      <c r="L1640" t="s">
        <v>4307</v>
      </c>
      <c r="M1640" s="3" t="str">
        <f>HYPERLINK("..\..\Imagery\ScannedPhotos\1987\CG87-488.24E.jpg")</f>
        <v>..\..\Imagery\ScannedPhotos\1987\CG87-488.24E.jpg</v>
      </c>
      <c r="N1640" t="s">
        <v>1808</v>
      </c>
    </row>
    <row r="1641" spans="1:14" x14ac:dyDescent="0.25">
      <c r="A1641" t="s">
        <v>32</v>
      </c>
      <c r="B1641">
        <v>596446</v>
      </c>
      <c r="C1641">
        <v>5792950</v>
      </c>
      <c r="D1641">
        <v>21</v>
      </c>
      <c r="E1641" t="s">
        <v>15</v>
      </c>
      <c r="F1641" t="s">
        <v>4308</v>
      </c>
      <c r="G1641">
        <v>40</v>
      </c>
      <c r="H1641" t="s">
        <v>813</v>
      </c>
      <c r="I1641" t="s">
        <v>386</v>
      </c>
      <c r="J1641" t="s">
        <v>814</v>
      </c>
      <c r="K1641" t="s">
        <v>228</v>
      </c>
      <c r="L1641" t="s">
        <v>4309</v>
      </c>
      <c r="M1641" s="3" t="str">
        <f>HYPERLINK("..\..\Imagery\ScannedPhotos\1987\CG87-488.25E.jpg")</f>
        <v>..\..\Imagery\ScannedPhotos\1987\CG87-488.25E.jpg</v>
      </c>
      <c r="N1641" t="s">
        <v>1808</v>
      </c>
    </row>
    <row r="1642" spans="1:14" x14ac:dyDescent="0.25">
      <c r="A1642" t="s">
        <v>32</v>
      </c>
      <c r="B1642">
        <v>596446</v>
      </c>
      <c r="C1642">
        <v>5792950</v>
      </c>
      <c r="D1642">
        <v>21</v>
      </c>
      <c r="E1642" t="s">
        <v>15</v>
      </c>
      <c r="F1642" t="s">
        <v>4310</v>
      </c>
      <c r="G1642">
        <v>40</v>
      </c>
      <c r="H1642" t="s">
        <v>813</v>
      </c>
      <c r="I1642" t="s">
        <v>217</v>
      </c>
      <c r="J1642" t="s">
        <v>814</v>
      </c>
      <c r="K1642" t="s">
        <v>535</v>
      </c>
      <c r="L1642" t="s">
        <v>4311</v>
      </c>
      <c r="M1642" s="3" t="str">
        <f>HYPERLINK("..\..\Imagery\ScannedPhotos\1987\CG87-488.26E.jpg")</f>
        <v>..\..\Imagery\ScannedPhotos\1987\CG87-488.26E.jpg</v>
      </c>
      <c r="N1642" t="s">
        <v>1808</v>
      </c>
    </row>
    <row r="1643" spans="1:14" x14ac:dyDescent="0.25">
      <c r="A1643" t="s">
        <v>32</v>
      </c>
      <c r="B1643">
        <v>596446</v>
      </c>
      <c r="C1643">
        <v>5792950</v>
      </c>
      <c r="D1643">
        <v>21</v>
      </c>
      <c r="E1643" t="s">
        <v>15</v>
      </c>
      <c r="F1643" t="s">
        <v>4312</v>
      </c>
      <c r="G1643">
        <v>40</v>
      </c>
      <c r="H1643" t="s">
        <v>813</v>
      </c>
      <c r="I1643" t="s">
        <v>360</v>
      </c>
      <c r="J1643" t="s">
        <v>814</v>
      </c>
      <c r="K1643" t="s">
        <v>228</v>
      </c>
      <c r="L1643" t="s">
        <v>4313</v>
      </c>
      <c r="M1643" s="3" t="str">
        <f>HYPERLINK("..\..\Imagery\ScannedPhotos\1987\CG87-488.27E.jpg")</f>
        <v>..\..\Imagery\ScannedPhotos\1987\CG87-488.27E.jpg</v>
      </c>
      <c r="N1643" t="s">
        <v>1808</v>
      </c>
    </row>
    <row r="1644" spans="1:14" x14ac:dyDescent="0.25">
      <c r="A1644" t="s">
        <v>32</v>
      </c>
      <c r="B1644">
        <v>596446</v>
      </c>
      <c r="C1644">
        <v>5792950</v>
      </c>
      <c r="D1644">
        <v>21</v>
      </c>
      <c r="E1644" t="s">
        <v>15</v>
      </c>
      <c r="F1644" t="s">
        <v>4314</v>
      </c>
      <c r="G1644">
        <v>40</v>
      </c>
      <c r="H1644" t="s">
        <v>4315</v>
      </c>
      <c r="I1644" t="s">
        <v>214</v>
      </c>
      <c r="J1644" t="s">
        <v>996</v>
      </c>
      <c r="K1644" t="s">
        <v>228</v>
      </c>
      <c r="L1644" t="s">
        <v>4316</v>
      </c>
      <c r="M1644" s="3" t="str">
        <f>HYPERLINK("..\..\Imagery\ScannedPhotos\1987\CG87-488.28E.jpg")</f>
        <v>..\..\Imagery\ScannedPhotos\1987\CG87-488.28E.jpg</v>
      </c>
      <c r="N1644" t="s">
        <v>1808</v>
      </c>
    </row>
    <row r="1645" spans="1:14" x14ac:dyDescent="0.25">
      <c r="A1645" t="s">
        <v>32</v>
      </c>
      <c r="B1645">
        <v>596446</v>
      </c>
      <c r="C1645">
        <v>5792950</v>
      </c>
      <c r="D1645">
        <v>21</v>
      </c>
      <c r="E1645" t="s">
        <v>15</v>
      </c>
      <c r="F1645" t="s">
        <v>4317</v>
      </c>
      <c r="G1645">
        <v>40</v>
      </c>
      <c r="K1645" t="s">
        <v>228</v>
      </c>
      <c r="L1645" t="s">
        <v>4318</v>
      </c>
      <c r="M1645" s="3" t="str">
        <f>HYPERLINK("..\..\Imagery\ScannedPhotos\1987\CG87-488.31E.jpg")</f>
        <v>..\..\Imagery\ScannedPhotos\1987\CG87-488.31E.jpg</v>
      </c>
      <c r="N1645" t="s">
        <v>1808</v>
      </c>
    </row>
    <row r="1646" spans="1:14" x14ac:dyDescent="0.25">
      <c r="A1646" t="s">
        <v>4319</v>
      </c>
      <c r="B1646">
        <v>596579</v>
      </c>
      <c r="C1646">
        <v>5791950</v>
      </c>
      <c r="D1646">
        <v>21</v>
      </c>
      <c r="E1646" t="s">
        <v>15</v>
      </c>
      <c r="F1646" t="s">
        <v>4320</v>
      </c>
      <c r="G1646">
        <v>1</v>
      </c>
      <c r="H1646" t="s">
        <v>1650</v>
      </c>
      <c r="I1646" t="s">
        <v>375</v>
      </c>
      <c r="J1646" t="s">
        <v>1651</v>
      </c>
      <c r="K1646" t="s">
        <v>20</v>
      </c>
      <c r="L1646" t="s">
        <v>4321</v>
      </c>
      <c r="M1646" s="3" t="str">
        <f>HYPERLINK("..\..\Imagery\ScannedPhotos\1987\CG87-490E.jpg")</f>
        <v>..\..\Imagery\ScannedPhotos\1987\CG87-490E.jpg</v>
      </c>
      <c r="N1646" t="s">
        <v>1808</v>
      </c>
    </row>
    <row r="1647" spans="1:14" x14ac:dyDescent="0.25">
      <c r="A1647" t="s">
        <v>4322</v>
      </c>
      <c r="B1647">
        <v>596512</v>
      </c>
      <c r="C1647">
        <v>5791524</v>
      </c>
      <c r="D1647">
        <v>21</v>
      </c>
      <c r="E1647" t="s">
        <v>15</v>
      </c>
      <c r="F1647" t="s">
        <v>4323</v>
      </c>
      <c r="G1647">
        <v>3</v>
      </c>
      <c r="H1647" t="s">
        <v>1650</v>
      </c>
      <c r="I1647" t="s">
        <v>94</v>
      </c>
      <c r="J1647" t="s">
        <v>1651</v>
      </c>
      <c r="K1647" t="s">
        <v>20</v>
      </c>
      <c r="L1647" t="s">
        <v>4324</v>
      </c>
      <c r="M1647" s="3" t="str">
        <f>HYPERLINK("..\..\Imagery\ScannedPhotos\1987\CG87-491.1E.jpg")</f>
        <v>..\..\Imagery\ScannedPhotos\1987\CG87-491.1E.jpg</v>
      </c>
      <c r="N1647" t="s">
        <v>1808</v>
      </c>
    </row>
    <row r="1648" spans="1:14" x14ac:dyDescent="0.25">
      <c r="A1648" t="s">
        <v>4322</v>
      </c>
      <c r="B1648">
        <v>596512</v>
      </c>
      <c r="C1648">
        <v>5791524</v>
      </c>
      <c r="D1648">
        <v>21</v>
      </c>
      <c r="E1648" t="s">
        <v>15</v>
      </c>
      <c r="F1648" t="s">
        <v>4325</v>
      </c>
      <c r="G1648">
        <v>3</v>
      </c>
      <c r="H1648" t="s">
        <v>1650</v>
      </c>
      <c r="I1648" t="s">
        <v>209</v>
      </c>
      <c r="J1648" t="s">
        <v>1651</v>
      </c>
      <c r="K1648" t="s">
        <v>20</v>
      </c>
      <c r="L1648" t="s">
        <v>4326</v>
      </c>
      <c r="M1648" s="3" t="str">
        <f>HYPERLINK("..\..\Imagery\ScannedPhotos\1987\CG87-491.2E.jpg")</f>
        <v>..\..\Imagery\ScannedPhotos\1987\CG87-491.2E.jpg</v>
      </c>
      <c r="N1648" t="s">
        <v>1808</v>
      </c>
    </row>
    <row r="1649" spans="1:14" x14ac:dyDescent="0.25">
      <c r="A1649" t="s">
        <v>4327</v>
      </c>
      <c r="B1649">
        <v>596516</v>
      </c>
      <c r="C1649">
        <v>5791197</v>
      </c>
      <c r="D1649">
        <v>21</v>
      </c>
      <c r="E1649" t="s">
        <v>15</v>
      </c>
      <c r="F1649" t="s">
        <v>4328</v>
      </c>
      <c r="G1649">
        <v>3</v>
      </c>
      <c r="H1649" t="s">
        <v>1650</v>
      </c>
      <c r="I1649" t="s">
        <v>217</v>
      </c>
      <c r="J1649" t="s">
        <v>1651</v>
      </c>
      <c r="K1649" t="s">
        <v>20</v>
      </c>
      <c r="L1649" t="s">
        <v>4329</v>
      </c>
      <c r="M1649" s="3" t="str">
        <f>HYPERLINK("..\..\Imagery\ScannedPhotos\1987\CG87-492.1cropped.jpg")</f>
        <v>..\..\Imagery\ScannedPhotos\1987\CG87-492.1cropped.jpg</v>
      </c>
      <c r="N1649" t="s">
        <v>4297</v>
      </c>
    </row>
    <row r="1650" spans="1:14" x14ac:dyDescent="0.25">
      <c r="A1650" t="s">
        <v>4330</v>
      </c>
      <c r="B1650">
        <v>593305</v>
      </c>
      <c r="C1650">
        <v>5790034</v>
      </c>
      <c r="D1650">
        <v>21</v>
      </c>
      <c r="E1650" t="s">
        <v>15</v>
      </c>
      <c r="F1650" t="s">
        <v>4331</v>
      </c>
      <c r="G1650">
        <v>2</v>
      </c>
      <c r="H1650" t="s">
        <v>1650</v>
      </c>
      <c r="I1650" t="s">
        <v>25</v>
      </c>
      <c r="J1650" t="s">
        <v>1651</v>
      </c>
      <c r="K1650" t="s">
        <v>20</v>
      </c>
      <c r="L1650" t="s">
        <v>4332</v>
      </c>
      <c r="M1650" s="3" t="str">
        <f>HYPERLINK("..\..\Imagery\ScannedPhotos\1987\CG87-502.1cropped.jpg")</f>
        <v>..\..\Imagery\ScannedPhotos\1987\CG87-502.1cropped.jpg</v>
      </c>
      <c r="N1650" t="s">
        <v>4297</v>
      </c>
    </row>
    <row r="1651" spans="1:14" x14ac:dyDescent="0.25">
      <c r="A1651" t="s">
        <v>4333</v>
      </c>
      <c r="B1651">
        <v>523010</v>
      </c>
      <c r="C1651">
        <v>5812481</v>
      </c>
      <c r="D1651">
        <v>21</v>
      </c>
      <c r="E1651" t="s">
        <v>15</v>
      </c>
      <c r="F1651" t="s">
        <v>4334</v>
      </c>
      <c r="G1651">
        <v>1</v>
      </c>
      <c r="H1651" t="s">
        <v>2439</v>
      </c>
      <c r="I1651" t="s">
        <v>222</v>
      </c>
      <c r="J1651" t="s">
        <v>2440</v>
      </c>
      <c r="K1651" t="s">
        <v>228</v>
      </c>
      <c r="L1651" t="s">
        <v>4335</v>
      </c>
      <c r="M1651" s="3" t="str">
        <f>HYPERLINK("..\..\Imagery\ScannedPhotos\1987\CG87-587E.jpg")</f>
        <v>..\..\Imagery\ScannedPhotos\1987\CG87-587E.jpg</v>
      </c>
      <c r="N1651" t="s">
        <v>1808</v>
      </c>
    </row>
    <row r="1652" spans="1:14" x14ac:dyDescent="0.25">
      <c r="A1652" t="s">
        <v>4336</v>
      </c>
      <c r="B1652">
        <v>551508</v>
      </c>
      <c r="C1652">
        <v>5770789</v>
      </c>
      <c r="D1652">
        <v>21</v>
      </c>
      <c r="E1652" t="s">
        <v>15</v>
      </c>
      <c r="F1652" t="s">
        <v>4337</v>
      </c>
      <c r="G1652">
        <v>1</v>
      </c>
      <c r="H1652" t="s">
        <v>2099</v>
      </c>
      <c r="J1652" t="s">
        <v>48</v>
      </c>
      <c r="K1652" t="s">
        <v>56</v>
      </c>
      <c r="L1652" t="s">
        <v>2920</v>
      </c>
      <c r="M1652" s="3" t="str">
        <f>HYPERLINK("..\..\Imagery\ScannedPhotos\1987\CG87-605cropped.jpg")</f>
        <v>..\..\Imagery\ScannedPhotos\1987\CG87-605cropped.jpg</v>
      </c>
      <c r="N1652" t="s">
        <v>4297</v>
      </c>
    </row>
    <row r="1653" spans="1:14" x14ac:dyDescent="0.25">
      <c r="A1653" t="s">
        <v>4338</v>
      </c>
      <c r="B1653">
        <v>527200</v>
      </c>
      <c r="C1653">
        <v>5776620</v>
      </c>
      <c r="D1653">
        <v>21</v>
      </c>
      <c r="E1653" t="s">
        <v>15</v>
      </c>
      <c r="F1653" t="s">
        <v>4339</v>
      </c>
      <c r="G1653">
        <v>2</v>
      </c>
      <c r="H1653" t="s">
        <v>2023</v>
      </c>
      <c r="I1653" t="s">
        <v>18</v>
      </c>
      <c r="J1653" t="s">
        <v>1052</v>
      </c>
      <c r="K1653" t="s">
        <v>56</v>
      </c>
      <c r="L1653" t="s">
        <v>4340</v>
      </c>
      <c r="M1653" s="3" t="str">
        <f>HYPERLINK("..\..\Imagery\ScannedPhotos\1987\CG87-660.2cropped.jpg")</f>
        <v>..\..\Imagery\ScannedPhotos\1987\CG87-660.2cropped.jpg</v>
      </c>
      <c r="N1653" t="s">
        <v>4297</v>
      </c>
    </row>
    <row r="1654" spans="1:14" x14ac:dyDescent="0.25">
      <c r="A1654" t="s">
        <v>4341</v>
      </c>
      <c r="B1654">
        <v>598437</v>
      </c>
      <c r="C1654">
        <v>5789489</v>
      </c>
      <c r="D1654">
        <v>21</v>
      </c>
      <c r="E1654" t="s">
        <v>15</v>
      </c>
      <c r="F1654" t="s">
        <v>4342</v>
      </c>
      <c r="G1654">
        <v>1</v>
      </c>
      <c r="H1654" t="s">
        <v>4315</v>
      </c>
      <c r="I1654" t="s">
        <v>222</v>
      </c>
      <c r="J1654" t="s">
        <v>996</v>
      </c>
      <c r="K1654" t="s">
        <v>20</v>
      </c>
      <c r="L1654" t="s">
        <v>4343</v>
      </c>
      <c r="M1654" s="3" t="str">
        <f>HYPERLINK("..\..\Imagery\ScannedPhotos\1987\CG87-661E.jpg")</f>
        <v>..\..\Imagery\ScannedPhotos\1987\CG87-661E.jpg</v>
      </c>
      <c r="N1654" t="s">
        <v>1808</v>
      </c>
    </row>
    <row r="1655" spans="1:14" x14ac:dyDescent="0.25">
      <c r="A1655" t="s">
        <v>4344</v>
      </c>
      <c r="B1655">
        <v>598430</v>
      </c>
      <c r="C1655">
        <v>5790240</v>
      </c>
      <c r="D1655">
        <v>21</v>
      </c>
      <c r="E1655" t="s">
        <v>15</v>
      </c>
      <c r="F1655" t="s">
        <v>4345</v>
      </c>
      <c r="G1655">
        <v>3</v>
      </c>
      <c r="H1655" t="s">
        <v>4315</v>
      </c>
      <c r="I1655" t="s">
        <v>25</v>
      </c>
      <c r="J1655" t="s">
        <v>996</v>
      </c>
      <c r="K1655" t="s">
        <v>20</v>
      </c>
      <c r="L1655" t="s">
        <v>4343</v>
      </c>
      <c r="M1655" s="3" t="str">
        <f>HYPERLINK("..\..\Imagery\ScannedPhotos\1987\CG87-663.1E.jpg")</f>
        <v>..\..\Imagery\ScannedPhotos\1987\CG87-663.1E.jpg</v>
      </c>
      <c r="N1655" t="s">
        <v>1808</v>
      </c>
    </row>
    <row r="1656" spans="1:14" x14ac:dyDescent="0.25">
      <c r="A1656" t="s">
        <v>4346</v>
      </c>
      <c r="B1656">
        <v>581923</v>
      </c>
      <c r="C1656">
        <v>5764212</v>
      </c>
      <c r="D1656">
        <v>21</v>
      </c>
      <c r="E1656" t="s">
        <v>15</v>
      </c>
      <c r="F1656" t="s">
        <v>4347</v>
      </c>
      <c r="G1656">
        <v>2</v>
      </c>
      <c r="H1656" t="s">
        <v>2480</v>
      </c>
      <c r="I1656" t="s">
        <v>122</v>
      </c>
      <c r="J1656" t="s">
        <v>1619</v>
      </c>
      <c r="K1656" t="s">
        <v>20</v>
      </c>
      <c r="L1656" t="s">
        <v>4348</v>
      </c>
      <c r="M1656" s="3" t="str">
        <f>HYPERLINK("..\..\Imagery\ScannedPhotos\1987\JS87-392.2E.jpg")</f>
        <v>..\..\Imagery\ScannedPhotos\1987\JS87-392.2E.jpg</v>
      </c>
      <c r="N1656" t="s">
        <v>1808</v>
      </c>
    </row>
    <row r="1657" spans="1:14" x14ac:dyDescent="0.25">
      <c r="A1657" t="s">
        <v>4349</v>
      </c>
      <c r="B1657">
        <v>578704</v>
      </c>
      <c r="C1657">
        <v>5787411</v>
      </c>
      <c r="D1657">
        <v>21</v>
      </c>
      <c r="E1657" t="s">
        <v>15</v>
      </c>
      <c r="F1657" t="s">
        <v>4350</v>
      </c>
      <c r="G1657">
        <v>2</v>
      </c>
      <c r="H1657" t="s">
        <v>813</v>
      </c>
      <c r="I1657" t="s">
        <v>375</v>
      </c>
      <c r="J1657" t="s">
        <v>814</v>
      </c>
      <c r="K1657" t="s">
        <v>228</v>
      </c>
      <c r="L1657" t="s">
        <v>4351</v>
      </c>
      <c r="M1657" s="3" t="str">
        <f>HYPERLINK("..\..\Imagery\ScannedPhotos\1987\VN87-108.1E.jpg")</f>
        <v>..\..\Imagery\ScannedPhotos\1987\VN87-108.1E.jpg</v>
      </c>
      <c r="N1657" t="s">
        <v>1808</v>
      </c>
    </row>
    <row r="1658" spans="1:14" x14ac:dyDescent="0.25">
      <c r="A1658" t="s">
        <v>4349</v>
      </c>
      <c r="B1658">
        <v>578704</v>
      </c>
      <c r="C1658">
        <v>5787411</v>
      </c>
      <c r="D1658">
        <v>21</v>
      </c>
      <c r="E1658" t="s">
        <v>15</v>
      </c>
      <c r="F1658" t="s">
        <v>4352</v>
      </c>
      <c r="G1658">
        <v>2</v>
      </c>
      <c r="H1658" t="s">
        <v>813</v>
      </c>
      <c r="I1658" t="s">
        <v>94</v>
      </c>
      <c r="J1658" t="s">
        <v>814</v>
      </c>
      <c r="K1658" t="s">
        <v>228</v>
      </c>
      <c r="L1658" t="s">
        <v>4353</v>
      </c>
      <c r="M1658" s="3" t="str">
        <f>HYPERLINK("..\..\Imagery\ScannedPhotos\1987\VN87-108.2E.jpg")</f>
        <v>..\..\Imagery\ScannedPhotos\1987\VN87-108.2E.jpg</v>
      </c>
      <c r="N1658" t="s">
        <v>1808</v>
      </c>
    </row>
    <row r="1659" spans="1:14" x14ac:dyDescent="0.25">
      <c r="A1659" t="s">
        <v>4354</v>
      </c>
      <c r="B1659">
        <v>578880</v>
      </c>
      <c r="C1659">
        <v>5789112</v>
      </c>
      <c r="D1659">
        <v>21</v>
      </c>
      <c r="E1659" t="s">
        <v>15</v>
      </c>
      <c r="F1659" t="s">
        <v>4355</v>
      </c>
      <c r="G1659">
        <v>2</v>
      </c>
      <c r="H1659" t="s">
        <v>308</v>
      </c>
      <c r="I1659" t="s">
        <v>108</v>
      </c>
      <c r="J1659" t="s">
        <v>309</v>
      </c>
      <c r="K1659" t="s">
        <v>20</v>
      </c>
      <c r="L1659" t="s">
        <v>4356</v>
      </c>
      <c r="M1659" s="3" t="str">
        <f>HYPERLINK("..\..\Imagery\ScannedPhotos\1987\VN87-111.2E.jpg")</f>
        <v>..\..\Imagery\ScannedPhotos\1987\VN87-111.2E.jpg</v>
      </c>
      <c r="N1659" t="s">
        <v>1808</v>
      </c>
    </row>
    <row r="1660" spans="1:14" x14ac:dyDescent="0.25">
      <c r="A1660" t="s">
        <v>317</v>
      </c>
      <c r="B1660">
        <v>579261</v>
      </c>
      <c r="C1660">
        <v>5795643</v>
      </c>
      <c r="D1660">
        <v>21</v>
      </c>
      <c r="E1660" t="s">
        <v>15</v>
      </c>
      <c r="F1660" t="s">
        <v>4357</v>
      </c>
      <c r="G1660">
        <v>4</v>
      </c>
      <c r="H1660" t="s">
        <v>813</v>
      </c>
      <c r="I1660" t="s">
        <v>18</v>
      </c>
      <c r="J1660" t="s">
        <v>814</v>
      </c>
      <c r="K1660" t="s">
        <v>228</v>
      </c>
      <c r="L1660" t="s">
        <v>4358</v>
      </c>
      <c r="M1660" s="3" t="str">
        <f>HYPERLINK("..\..\Imagery\ScannedPhotos\1987\VN87-127.1E.jpg")</f>
        <v>..\..\Imagery\ScannedPhotos\1987\VN87-127.1E.jpg</v>
      </c>
      <c r="N1660" t="s">
        <v>1808</v>
      </c>
    </row>
    <row r="1661" spans="1:14" x14ac:dyDescent="0.25">
      <c r="A1661" t="s">
        <v>317</v>
      </c>
      <c r="B1661">
        <v>579261</v>
      </c>
      <c r="C1661">
        <v>5795643</v>
      </c>
      <c r="D1661">
        <v>21</v>
      </c>
      <c r="E1661" t="s">
        <v>15</v>
      </c>
      <c r="F1661" t="s">
        <v>4359</v>
      </c>
      <c r="G1661">
        <v>4</v>
      </c>
      <c r="H1661" t="s">
        <v>813</v>
      </c>
      <c r="I1661" t="s">
        <v>647</v>
      </c>
      <c r="J1661" t="s">
        <v>814</v>
      </c>
      <c r="K1661" t="s">
        <v>535</v>
      </c>
      <c r="L1661" t="s">
        <v>4360</v>
      </c>
      <c r="M1661" s="3" t="str">
        <f>HYPERLINK("..\..\Imagery\ScannedPhotos\1987\VN87-127.2E.jpg")</f>
        <v>..\..\Imagery\ScannedPhotos\1987\VN87-127.2E.jpg</v>
      </c>
      <c r="N1661" t="s">
        <v>1808</v>
      </c>
    </row>
    <row r="1662" spans="1:14" x14ac:dyDescent="0.25">
      <c r="A1662" t="s">
        <v>317</v>
      </c>
      <c r="B1662">
        <v>579261</v>
      </c>
      <c r="C1662">
        <v>5795643</v>
      </c>
      <c r="D1662">
        <v>21</v>
      </c>
      <c r="E1662" t="s">
        <v>15</v>
      </c>
      <c r="F1662" t="s">
        <v>4361</v>
      </c>
      <c r="G1662">
        <v>4</v>
      </c>
      <c r="H1662" t="s">
        <v>813</v>
      </c>
      <c r="I1662" t="s">
        <v>30</v>
      </c>
      <c r="J1662" t="s">
        <v>814</v>
      </c>
      <c r="K1662" t="s">
        <v>535</v>
      </c>
      <c r="L1662" t="s">
        <v>4362</v>
      </c>
      <c r="M1662" s="3" t="str">
        <f>HYPERLINK("..\..\Imagery\ScannedPhotos\1987\VN87-127.3E.jpg")</f>
        <v>..\..\Imagery\ScannedPhotos\1987\VN87-127.3E.jpg</v>
      </c>
      <c r="N1662" t="s">
        <v>1808</v>
      </c>
    </row>
    <row r="1663" spans="1:14" x14ac:dyDescent="0.25">
      <c r="A1663" t="s">
        <v>4363</v>
      </c>
      <c r="B1663">
        <v>587559</v>
      </c>
      <c r="C1663">
        <v>5784580</v>
      </c>
      <c r="D1663">
        <v>21</v>
      </c>
      <c r="E1663" t="s">
        <v>15</v>
      </c>
      <c r="F1663" t="s">
        <v>4364</v>
      </c>
      <c r="G1663">
        <v>1</v>
      </c>
      <c r="H1663" t="s">
        <v>1051</v>
      </c>
      <c r="I1663" t="s">
        <v>294</v>
      </c>
      <c r="J1663" t="s">
        <v>1052</v>
      </c>
      <c r="K1663" t="s">
        <v>20</v>
      </c>
      <c r="L1663" t="s">
        <v>4365</v>
      </c>
      <c r="M1663" s="3" t="str">
        <f>HYPERLINK("..\..\Imagery\ScannedPhotos\1987\VN87-434E.jpg")</f>
        <v>..\..\Imagery\ScannedPhotos\1987\VN87-434E.jpg</v>
      </c>
      <c r="N1663" t="s">
        <v>1808</v>
      </c>
    </row>
    <row r="1664" spans="1:14" x14ac:dyDescent="0.25">
      <c r="A1664" t="s">
        <v>1220</v>
      </c>
      <c r="B1664">
        <v>588286</v>
      </c>
      <c r="C1664">
        <v>5788706</v>
      </c>
      <c r="D1664">
        <v>21</v>
      </c>
      <c r="E1664" t="s">
        <v>15</v>
      </c>
      <c r="F1664" t="s">
        <v>4366</v>
      </c>
      <c r="G1664">
        <v>2</v>
      </c>
      <c r="H1664" t="s">
        <v>1051</v>
      </c>
      <c r="I1664" t="s">
        <v>35</v>
      </c>
      <c r="J1664" t="s">
        <v>1052</v>
      </c>
      <c r="K1664" t="s">
        <v>20</v>
      </c>
      <c r="L1664" t="s">
        <v>4367</v>
      </c>
      <c r="M1664" s="3" t="str">
        <f>HYPERLINK("..\..\Imagery\ScannedPhotos\1987\VN87-447.2E.jpg")</f>
        <v>..\..\Imagery\ScannedPhotos\1987\VN87-447.2E.jpg</v>
      </c>
      <c r="N1664" t="s">
        <v>1808</v>
      </c>
    </row>
    <row r="1665" spans="1:14" x14ac:dyDescent="0.25">
      <c r="A1665" t="s">
        <v>4368</v>
      </c>
      <c r="B1665">
        <v>589708</v>
      </c>
      <c r="C1665">
        <v>5801982</v>
      </c>
      <c r="D1665">
        <v>21</v>
      </c>
      <c r="E1665" t="s">
        <v>15</v>
      </c>
      <c r="F1665" t="s">
        <v>4369</v>
      </c>
      <c r="G1665">
        <v>1</v>
      </c>
      <c r="H1665" t="s">
        <v>1171</v>
      </c>
      <c r="I1665" t="s">
        <v>94</v>
      </c>
      <c r="J1665" t="s">
        <v>563</v>
      </c>
      <c r="K1665" t="s">
        <v>228</v>
      </c>
      <c r="L1665" t="s">
        <v>4370</v>
      </c>
      <c r="M1665" s="3" t="str">
        <f>HYPERLINK("..\..\Imagery\ScannedPhotos\1987\VN87-460E.jpg")</f>
        <v>..\..\Imagery\ScannedPhotos\1987\VN87-460E.jpg</v>
      </c>
      <c r="N1665" t="s">
        <v>1808</v>
      </c>
    </row>
    <row r="1666" spans="1:14" x14ac:dyDescent="0.25">
      <c r="A1666" t="s">
        <v>4371</v>
      </c>
      <c r="B1666">
        <v>429589</v>
      </c>
      <c r="C1666">
        <v>5803215</v>
      </c>
      <c r="D1666">
        <v>21</v>
      </c>
      <c r="E1666" t="s">
        <v>15</v>
      </c>
      <c r="F1666" t="s">
        <v>4372</v>
      </c>
      <c r="G1666">
        <v>1</v>
      </c>
      <c r="H1666" t="s">
        <v>738</v>
      </c>
      <c r="I1666" t="s">
        <v>18</v>
      </c>
      <c r="J1666" t="s">
        <v>739</v>
      </c>
      <c r="K1666" t="s">
        <v>56</v>
      </c>
      <c r="L1666" t="s">
        <v>4373</v>
      </c>
      <c r="M1666" s="3" t="str">
        <f>HYPERLINK("..\..\Imagery\ScannedPhotos\1999\CG99-012.jpg")</f>
        <v>..\..\Imagery\ScannedPhotos\1999\CG99-012.jpg</v>
      </c>
    </row>
    <row r="1667" spans="1:14" x14ac:dyDescent="0.25">
      <c r="A1667" t="s">
        <v>4374</v>
      </c>
      <c r="B1667">
        <v>573837</v>
      </c>
      <c r="C1667">
        <v>5876699</v>
      </c>
      <c r="D1667">
        <v>21</v>
      </c>
      <c r="E1667" t="s">
        <v>15</v>
      </c>
      <c r="F1667" t="s">
        <v>4375</v>
      </c>
      <c r="G1667">
        <v>2</v>
      </c>
      <c r="H1667" t="s">
        <v>1507</v>
      </c>
      <c r="I1667" t="s">
        <v>294</v>
      </c>
      <c r="J1667" t="s">
        <v>1508</v>
      </c>
      <c r="K1667" t="s">
        <v>20</v>
      </c>
      <c r="L1667" t="s">
        <v>4376</v>
      </c>
      <c r="M1667" s="3" t="str">
        <f>HYPERLINK("..\..\Imagery\ScannedPhotos\1985\GM85-473.1.jpg")</f>
        <v>..\..\Imagery\ScannedPhotos\1985\GM85-473.1.jpg</v>
      </c>
    </row>
    <row r="1668" spans="1:14" x14ac:dyDescent="0.25">
      <c r="A1668" t="s">
        <v>2457</v>
      </c>
      <c r="B1668">
        <v>443477</v>
      </c>
      <c r="C1668">
        <v>5909760</v>
      </c>
      <c r="D1668">
        <v>21</v>
      </c>
      <c r="E1668" t="s">
        <v>15</v>
      </c>
      <c r="F1668" t="s">
        <v>4377</v>
      </c>
      <c r="G1668">
        <v>2</v>
      </c>
      <c r="H1668" t="s">
        <v>2459</v>
      </c>
      <c r="I1668" t="s">
        <v>294</v>
      </c>
      <c r="J1668" t="s">
        <v>2247</v>
      </c>
      <c r="K1668" t="s">
        <v>20</v>
      </c>
      <c r="L1668" t="s">
        <v>4378</v>
      </c>
      <c r="M1668" s="3" t="str">
        <f>HYPERLINK("..\..\Imagery\ScannedPhotos\1984\NN84-145.1.jpg")</f>
        <v>..\..\Imagery\ScannedPhotos\1984\NN84-145.1.jpg</v>
      </c>
    </row>
    <row r="1669" spans="1:14" x14ac:dyDescent="0.25">
      <c r="A1669" t="s">
        <v>4379</v>
      </c>
      <c r="B1669">
        <v>443825</v>
      </c>
      <c r="C1669">
        <v>5909784</v>
      </c>
      <c r="D1669">
        <v>21</v>
      </c>
      <c r="E1669" t="s">
        <v>15</v>
      </c>
      <c r="F1669" t="s">
        <v>4380</v>
      </c>
      <c r="G1669">
        <v>2</v>
      </c>
      <c r="H1669" t="s">
        <v>2459</v>
      </c>
      <c r="I1669" t="s">
        <v>18</v>
      </c>
      <c r="J1669" t="s">
        <v>2247</v>
      </c>
      <c r="K1669" t="s">
        <v>56</v>
      </c>
      <c r="L1669" t="s">
        <v>4381</v>
      </c>
      <c r="M1669" s="3" t="str">
        <f>HYPERLINK("..\..\Imagery\ScannedPhotos\1984\NN84-147.1.jpg")</f>
        <v>..\..\Imagery\ScannedPhotos\1984\NN84-147.1.jpg</v>
      </c>
    </row>
    <row r="1670" spans="1:14" x14ac:dyDescent="0.25">
      <c r="A1670" t="s">
        <v>4379</v>
      </c>
      <c r="B1670">
        <v>443825</v>
      </c>
      <c r="C1670">
        <v>5909784</v>
      </c>
      <c r="D1670">
        <v>21</v>
      </c>
      <c r="E1670" t="s">
        <v>15</v>
      </c>
      <c r="F1670" t="s">
        <v>4382</v>
      </c>
      <c r="G1670">
        <v>2</v>
      </c>
      <c r="H1670" t="s">
        <v>2459</v>
      </c>
      <c r="I1670" t="s">
        <v>35</v>
      </c>
      <c r="J1670" t="s">
        <v>2247</v>
      </c>
      <c r="K1670" t="s">
        <v>56</v>
      </c>
      <c r="L1670" t="s">
        <v>4381</v>
      </c>
      <c r="M1670" s="3" t="str">
        <f>HYPERLINK("..\..\Imagery\ScannedPhotos\1984\NN84-147.2.jpg")</f>
        <v>..\..\Imagery\ScannedPhotos\1984\NN84-147.2.jpg</v>
      </c>
    </row>
    <row r="1671" spans="1:14" x14ac:dyDescent="0.25">
      <c r="A1671" t="s">
        <v>1648</v>
      </c>
      <c r="B1671">
        <v>590502</v>
      </c>
      <c r="C1671">
        <v>5779799</v>
      </c>
      <c r="D1671">
        <v>21</v>
      </c>
      <c r="E1671" t="s">
        <v>15</v>
      </c>
      <c r="F1671" t="s">
        <v>4383</v>
      </c>
      <c r="G1671">
        <v>4</v>
      </c>
      <c r="H1671" t="s">
        <v>1650</v>
      </c>
      <c r="I1671" t="s">
        <v>52</v>
      </c>
      <c r="J1671" t="s">
        <v>1651</v>
      </c>
      <c r="K1671" t="s">
        <v>20</v>
      </c>
      <c r="L1671" t="s">
        <v>1652</v>
      </c>
      <c r="M1671" s="3" t="str">
        <f>HYPERLINK("..\..\Imagery\ScannedPhotos\1987\CG87-568.4.jpg")</f>
        <v>..\..\Imagery\ScannedPhotos\1987\CG87-568.4.jpg</v>
      </c>
    </row>
    <row r="1672" spans="1:14" x14ac:dyDescent="0.25">
      <c r="A1672" t="s">
        <v>2965</v>
      </c>
      <c r="B1672">
        <v>420885</v>
      </c>
      <c r="C1672">
        <v>6009187</v>
      </c>
      <c r="D1672">
        <v>21</v>
      </c>
      <c r="E1672" t="s">
        <v>15</v>
      </c>
      <c r="F1672" t="s">
        <v>4384</v>
      </c>
      <c r="G1672">
        <v>5</v>
      </c>
      <c r="H1672" t="s">
        <v>2967</v>
      </c>
      <c r="I1672" t="s">
        <v>222</v>
      </c>
      <c r="J1672" t="s">
        <v>2968</v>
      </c>
      <c r="K1672" t="s">
        <v>20</v>
      </c>
      <c r="L1672" t="s">
        <v>4385</v>
      </c>
      <c r="M1672" s="3" t="str">
        <f>HYPERLINK("..\..\Imagery\ScannedPhotos\1980\RG80-104.2.jpg")</f>
        <v>..\..\Imagery\ScannedPhotos\1980\RG80-104.2.jpg</v>
      </c>
    </row>
    <row r="1673" spans="1:14" x14ac:dyDescent="0.25">
      <c r="A1673" t="s">
        <v>4386</v>
      </c>
      <c r="B1673">
        <v>484425</v>
      </c>
      <c r="C1673">
        <v>6033298</v>
      </c>
      <c r="D1673">
        <v>21</v>
      </c>
      <c r="E1673" t="s">
        <v>15</v>
      </c>
      <c r="F1673" t="s">
        <v>4387</v>
      </c>
      <c r="G1673">
        <v>6</v>
      </c>
      <c r="H1673" t="s">
        <v>4136</v>
      </c>
      <c r="I1673" t="s">
        <v>114</v>
      </c>
      <c r="J1673" t="s">
        <v>423</v>
      </c>
      <c r="K1673" t="s">
        <v>20</v>
      </c>
      <c r="L1673" t="s">
        <v>4388</v>
      </c>
      <c r="M1673" s="3" t="str">
        <f>HYPERLINK("..\..\Imagery\ScannedPhotos\1979\CG79-367.2.jpg")</f>
        <v>..\..\Imagery\ScannedPhotos\1979\CG79-367.2.jpg</v>
      </c>
    </row>
    <row r="1674" spans="1:14" x14ac:dyDescent="0.25">
      <c r="A1674" t="s">
        <v>1393</v>
      </c>
      <c r="B1674">
        <v>404410</v>
      </c>
      <c r="C1674">
        <v>5836945</v>
      </c>
      <c r="D1674">
        <v>21</v>
      </c>
      <c r="E1674" t="s">
        <v>15</v>
      </c>
      <c r="F1674" t="s">
        <v>4389</v>
      </c>
      <c r="G1674">
        <v>7</v>
      </c>
      <c r="H1674" t="s">
        <v>766</v>
      </c>
      <c r="I1674" t="s">
        <v>143</v>
      </c>
      <c r="J1674" t="s">
        <v>767</v>
      </c>
      <c r="K1674" t="s">
        <v>56</v>
      </c>
      <c r="L1674" t="s">
        <v>4390</v>
      </c>
      <c r="M1674" s="3" t="str">
        <f>HYPERLINK("..\..\Imagery\ScannedPhotos\1997\CG97-161.4.jpg")</f>
        <v>..\..\Imagery\ScannedPhotos\1997\CG97-161.4.jpg</v>
      </c>
    </row>
    <row r="1675" spans="1:14" x14ac:dyDescent="0.25">
      <c r="A1675" t="s">
        <v>2792</v>
      </c>
      <c r="B1675">
        <v>488150</v>
      </c>
      <c r="C1675">
        <v>5847950</v>
      </c>
      <c r="D1675">
        <v>21</v>
      </c>
      <c r="E1675" t="s">
        <v>15</v>
      </c>
      <c r="F1675" t="s">
        <v>4391</v>
      </c>
      <c r="G1675">
        <v>3</v>
      </c>
      <c r="H1675" t="s">
        <v>1128</v>
      </c>
      <c r="I1675" t="s">
        <v>85</v>
      </c>
      <c r="J1675" t="s">
        <v>1129</v>
      </c>
      <c r="K1675" t="s">
        <v>20</v>
      </c>
      <c r="L1675" t="s">
        <v>4392</v>
      </c>
      <c r="M1675" s="3" t="str">
        <f>HYPERLINK("..\..\Imagery\ScannedPhotos\1991\VN91-103.3.jpg")</f>
        <v>..\..\Imagery\ScannedPhotos\1991\VN91-103.3.jpg</v>
      </c>
    </row>
    <row r="1676" spans="1:14" x14ac:dyDescent="0.25">
      <c r="A1676" t="s">
        <v>1445</v>
      </c>
      <c r="B1676">
        <v>596752</v>
      </c>
      <c r="C1676">
        <v>5792346</v>
      </c>
      <c r="D1676">
        <v>21</v>
      </c>
      <c r="E1676" t="s">
        <v>15</v>
      </c>
      <c r="F1676" t="s">
        <v>4393</v>
      </c>
      <c r="G1676">
        <v>4</v>
      </c>
      <c r="K1676" t="s">
        <v>56</v>
      </c>
      <c r="L1676" t="s">
        <v>3552</v>
      </c>
      <c r="M1676" s="3" t="str">
        <f>HYPERLINK("..\..\Imagery\ScannedPhotos\2007\CG07-173.1.jpg")</f>
        <v>..\..\Imagery\ScannedPhotos\2007\CG07-173.1.jpg</v>
      </c>
    </row>
    <row r="1677" spans="1:14" x14ac:dyDescent="0.25">
      <c r="A1677" t="s">
        <v>4394</v>
      </c>
      <c r="B1677">
        <v>491649</v>
      </c>
      <c r="C1677">
        <v>5869536</v>
      </c>
      <c r="D1677">
        <v>21</v>
      </c>
      <c r="E1677" t="s">
        <v>15</v>
      </c>
      <c r="F1677" t="s">
        <v>4395</v>
      </c>
      <c r="G1677">
        <v>1</v>
      </c>
      <c r="H1677" t="s">
        <v>968</v>
      </c>
      <c r="I1677" t="s">
        <v>122</v>
      </c>
      <c r="J1677" t="s">
        <v>42</v>
      </c>
      <c r="K1677" t="s">
        <v>56</v>
      </c>
      <c r="L1677" t="s">
        <v>4396</v>
      </c>
      <c r="M1677" s="3" t="str">
        <f>HYPERLINK("..\..\Imagery\ScannedPhotos\1991\VN91-016.jpg")</f>
        <v>..\..\Imagery\ScannedPhotos\1991\VN91-016.jpg</v>
      </c>
    </row>
    <row r="1678" spans="1:14" x14ac:dyDescent="0.25">
      <c r="A1678" t="s">
        <v>4397</v>
      </c>
      <c r="B1678">
        <v>591006</v>
      </c>
      <c r="C1678">
        <v>5806307</v>
      </c>
      <c r="D1678">
        <v>21</v>
      </c>
      <c r="E1678" t="s">
        <v>15</v>
      </c>
      <c r="F1678" t="s">
        <v>4398</v>
      </c>
      <c r="G1678">
        <v>5</v>
      </c>
      <c r="H1678" t="s">
        <v>1688</v>
      </c>
      <c r="I1678" t="s">
        <v>25</v>
      </c>
      <c r="J1678" t="s">
        <v>1052</v>
      </c>
      <c r="K1678" t="s">
        <v>20</v>
      </c>
      <c r="L1678" t="s">
        <v>4399</v>
      </c>
      <c r="M1678" s="3" t="str">
        <f>HYPERLINK("..\..\Imagery\ScannedPhotos\1987\VN87-393.5.jpg")</f>
        <v>..\..\Imagery\ScannedPhotos\1987\VN87-393.5.jpg</v>
      </c>
    </row>
    <row r="1679" spans="1:14" x14ac:dyDescent="0.25">
      <c r="A1679" t="s">
        <v>4397</v>
      </c>
      <c r="B1679">
        <v>591006</v>
      </c>
      <c r="C1679">
        <v>5806307</v>
      </c>
      <c r="D1679">
        <v>21</v>
      </c>
      <c r="E1679" t="s">
        <v>15</v>
      </c>
      <c r="F1679" t="s">
        <v>4400</v>
      </c>
      <c r="G1679">
        <v>5</v>
      </c>
      <c r="H1679" t="s">
        <v>1688</v>
      </c>
      <c r="I1679" t="s">
        <v>304</v>
      </c>
      <c r="J1679" t="s">
        <v>1052</v>
      </c>
      <c r="K1679" t="s">
        <v>20</v>
      </c>
      <c r="L1679" t="s">
        <v>3952</v>
      </c>
      <c r="M1679" s="3" t="str">
        <f>HYPERLINK("..\..\Imagery\ScannedPhotos\1987\VN87-393.3.jpg")</f>
        <v>..\..\Imagery\ScannedPhotos\1987\VN87-393.3.jpg</v>
      </c>
    </row>
    <row r="1680" spans="1:14" x14ac:dyDescent="0.25">
      <c r="A1680" t="s">
        <v>4397</v>
      </c>
      <c r="B1680">
        <v>591006</v>
      </c>
      <c r="C1680">
        <v>5806307</v>
      </c>
      <c r="D1680">
        <v>21</v>
      </c>
      <c r="E1680" t="s">
        <v>15</v>
      </c>
      <c r="F1680" t="s">
        <v>4401</v>
      </c>
      <c r="G1680">
        <v>5</v>
      </c>
      <c r="H1680" t="s">
        <v>1688</v>
      </c>
      <c r="I1680" t="s">
        <v>195</v>
      </c>
      <c r="J1680" t="s">
        <v>1052</v>
      </c>
      <c r="K1680" t="s">
        <v>20</v>
      </c>
      <c r="L1680" t="s">
        <v>3952</v>
      </c>
      <c r="M1680" s="3" t="str">
        <f>HYPERLINK("..\..\Imagery\ScannedPhotos\1987\VN87-393.4.jpg")</f>
        <v>..\..\Imagery\ScannedPhotos\1987\VN87-393.4.jpg</v>
      </c>
    </row>
    <row r="1681" spans="1:13" x14ac:dyDescent="0.25">
      <c r="A1681" t="s">
        <v>4402</v>
      </c>
      <c r="B1681">
        <v>588953</v>
      </c>
      <c r="C1681">
        <v>5779736</v>
      </c>
      <c r="D1681">
        <v>21</v>
      </c>
      <c r="E1681" t="s">
        <v>15</v>
      </c>
      <c r="F1681" t="s">
        <v>4403</v>
      </c>
      <c r="G1681">
        <v>1</v>
      </c>
      <c r="H1681" t="s">
        <v>1688</v>
      </c>
      <c r="I1681" t="s">
        <v>30</v>
      </c>
      <c r="J1681" t="s">
        <v>1052</v>
      </c>
      <c r="K1681" t="s">
        <v>56</v>
      </c>
      <c r="L1681" t="s">
        <v>4404</v>
      </c>
      <c r="M1681" s="3" t="str">
        <f>HYPERLINK("..\..\Imagery\ScannedPhotos\1987\VN87-395.jpg")</f>
        <v>..\..\Imagery\ScannedPhotos\1987\VN87-395.jpg</v>
      </c>
    </row>
    <row r="1682" spans="1:13" x14ac:dyDescent="0.25">
      <c r="A1682" t="s">
        <v>4405</v>
      </c>
      <c r="B1682">
        <v>589245</v>
      </c>
      <c r="C1682">
        <v>5779852</v>
      </c>
      <c r="D1682">
        <v>21</v>
      </c>
      <c r="E1682" t="s">
        <v>15</v>
      </c>
      <c r="F1682" t="s">
        <v>4406</v>
      </c>
      <c r="G1682">
        <v>1</v>
      </c>
      <c r="H1682" t="s">
        <v>1688</v>
      </c>
      <c r="I1682" t="s">
        <v>114</v>
      </c>
      <c r="J1682" t="s">
        <v>1052</v>
      </c>
      <c r="K1682" t="s">
        <v>20</v>
      </c>
      <c r="L1682" t="s">
        <v>4407</v>
      </c>
      <c r="M1682" s="3" t="str">
        <f>HYPERLINK("..\..\Imagery\ScannedPhotos\1987\VN87-396.jpg")</f>
        <v>..\..\Imagery\ScannedPhotos\1987\VN87-396.jpg</v>
      </c>
    </row>
    <row r="1683" spans="1:13" x14ac:dyDescent="0.25">
      <c r="A1683" t="s">
        <v>4408</v>
      </c>
      <c r="B1683">
        <v>589324</v>
      </c>
      <c r="C1683">
        <v>5780565</v>
      </c>
      <c r="D1683">
        <v>21</v>
      </c>
      <c r="E1683" t="s">
        <v>15</v>
      </c>
      <c r="F1683" t="s">
        <v>4409</v>
      </c>
      <c r="G1683">
        <v>2</v>
      </c>
      <c r="H1683" t="s">
        <v>1688</v>
      </c>
      <c r="I1683" t="s">
        <v>122</v>
      </c>
      <c r="J1683" t="s">
        <v>1052</v>
      </c>
      <c r="K1683" t="s">
        <v>20</v>
      </c>
      <c r="L1683" t="s">
        <v>4410</v>
      </c>
      <c r="M1683" s="3" t="str">
        <f>HYPERLINK("..\..\Imagery\ScannedPhotos\1987\VN87-398.2.jpg")</f>
        <v>..\..\Imagery\ScannedPhotos\1987\VN87-398.2.jpg</v>
      </c>
    </row>
    <row r="1684" spans="1:13" x14ac:dyDescent="0.25">
      <c r="A1684" t="s">
        <v>4408</v>
      </c>
      <c r="B1684">
        <v>589324</v>
      </c>
      <c r="C1684">
        <v>5780565</v>
      </c>
      <c r="D1684">
        <v>21</v>
      </c>
      <c r="E1684" t="s">
        <v>15</v>
      </c>
      <c r="F1684" t="s">
        <v>4411</v>
      </c>
      <c r="G1684">
        <v>2</v>
      </c>
      <c r="H1684" t="s">
        <v>1688</v>
      </c>
      <c r="I1684" t="s">
        <v>119</v>
      </c>
      <c r="J1684" t="s">
        <v>1052</v>
      </c>
      <c r="K1684" t="s">
        <v>20</v>
      </c>
      <c r="L1684" t="s">
        <v>4412</v>
      </c>
      <c r="M1684" s="3" t="str">
        <f>HYPERLINK("..\..\Imagery\ScannedPhotos\1987\VN87-398.1.jpg")</f>
        <v>..\..\Imagery\ScannedPhotos\1987\VN87-398.1.jpg</v>
      </c>
    </row>
    <row r="1685" spans="1:13" x14ac:dyDescent="0.25">
      <c r="A1685" t="s">
        <v>2877</v>
      </c>
      <c r="B1685">
        <v>487350</v>
      </c>
      <c r="C1685">
        <v>5845375</v>
      </c>
      <c r="D1685">
        <v>21</v>
      </c>
      <c r="E1685" t="s">
        <v>15</v>
      </c>
      <c r="F1685" t="s">
        <v>4413</v>
      </c>
      <c r="G1685">
        <v>6</v>
      </c>
      <c r="H1685" t="s">
        <v>1128</v>
      </c>
      <c r="I1685" t="s">
        <v>195</v>
      </c>
      <c r="J1685" t="s">
        <v>1129</v>
      </c>
      <c r="K1685" t="s">
        <v>56</v>
      </c>
      <c r="L1685" t="s">
        <v>4414</v>
      </c>
      <c r="M1685" s="3" t="str">
        <f>HYPERLINK("..\..\Imagery\ScannedPhotos\1991\VN91-108.5.jpg")</f>
        <v>..\..\Imagery\ScannedPhotos\1991\VN91-108.5.jpg</v>
      </c>
    </row>
    <row r="1686" spans="1:13" x14ac:dyDescent="0.25">
      <c r="A1686" t="s">
        <v>4415</v>
      </c>
      <c r="B1686">
        <v>567839</v>
      </c>
      <c r="C1686">
        <v>5916629</v>
      </c>
      <c r="D1686">
        <v>21</v>
      </c>
      <c r="E1686" t="s">
        <v>15</v>
      </c>
      <c r="F1686" t="s">
        <v>4416</v>
      </c>
      <c r="G1686">
        <v>4</v>
      </c>
      <c r="H1686" t="s">
        <v>2687</v>
      </c>
      <c r="I1686" t="s">
        <v>85</v>
      </c>
      <c r="J1686" t="s">
        <v>1463</v>
      </c>
      <c r="K1686" t="s">
        <v>56</v>
      </c>
      <c r="L1686" t="s">
        <v>3297</v>
      </c>
      <c r="M1686" s="3" t="str">
        <f>HYPERLINK("..\..\Imagery\ScannedPhotos\1985\VN85-605.2.jpg")</f>
        <v>..\..\Imagery\ScannedPhotos\1985\VN85-605.2.jpg</v>
      </c>
    </row>
    <row r="1687" spans="1:13" x14ac:dyDescent="0.25">
      <c r="A1687" t="s">
        <v>4415</v>
      </c>
      <c r="B1687">
        <v>567839</v>
      </c>
      <c r="C1687">
        <v>5916629</v>
      </c>
      <c r="D1687">
        <v>21</v>
      </c>
      <c r="E1687" t="s">
        <v>15</v>
      </c>
      <c r="F1687" t="s">
        <v>4417</v>
      </c>
      <c r="G1687">
        <v>4</v>
      </c>
      <c r="H1687" t="s">
        <v>2687</v>
      </c>
      <c r="I1687" t="s">
        <v>209</v>
      </c>
      <c r="J1687" t="s">
        <v>1463</v>
      </c>
      <c r="K1687" t="s">
        <v>56</v>
      </c>
      <c r="L1687" t="s">
        <v>3297</v>
      </c>
      <c r="M1687" s="3" t="str">
        <f>HYPERLINK("..\..\Imagery\ScannedPhotos\1985\VN85-605.3.jpg")</f>
        <v>..\..\Imagery\ScannedPhotos\1985\VN85-605.3.jpg</v>
      </c>
    </row>
    <row r="1688" spans="1:13" x14ac:dyDescent="0.25">
      <c r="A1688" t="s">
        <v>741</v>
      </c>
      <c r="B1688">
        <v>422605</v>
      </c>
      <c r="C1688">
        <v>5774107</v>
      </c>
      <c r="D1688">
        <v>21</v>
      </c>
      <c r="E1688" t="s">
        <v>15</v>
      </c>
      <c r="F1688" t="s">
        <v>4418</v>
      </c>
      <c r="G1688">
        <v>6</v>
      </c>
      <c r="H1688" t="s">
        <v>766</v>
      </c>
      <c r="I1688" t="s">
        <v>294</v>
      </c>
      <c r="J1688" t="s">
        <v>767</v>
      </c>
      <c r="K1688" t="s">
        <v>56</v>
      </c>
      <c r="L1688" t="s">
        <v>4419</v>
      </c>
      <c r="M1688" s="3" t="str">
        <f>HYPERLINK("..\..\Imagery\ScannedPhotos\1999\CG99-050.2.jpg")</f>
        <v>..\..\Imagery\ScannedPhotos\1999\CG99-050.2.jpg</v>
      </c>
    </row>
    <row r="1689" spans="1:13" x14ac:dyDescent="0.25">
      <c r="A1689" t="s">
        <v>3939</v>
      </c>
      <c r="B1689">
        <v>547654</v>
      </c>
      <c r="C1689">
        <v>5822263</v>
      </c>
      <c r="D1689">
        <v>21</v>
      </c>
      <c r="E1689" t="s">
        <v>15</v>
      </c>
      <c r="F1689" t="s">
        <v>4420</v>
      </c>
      <c r="G1689">
        <v>1</v>
      </c>
      <c r="H1689" t="s">
        <v>2945</v>
      </c>
      <c r="I1689" t="s">
        <v>401</v>
      </c>
      <c r="J1689" t="s">
        <v>300</v>
      </c>
      <c r="K1689" t="s">
        <v>535</v>
      </c>
      <c r="L1689" t="s">
        <v>4421</v>
      </c>
      <c r="M1689" s="3" t="str">
        <f>HYPERLINK("..\..\Imagery\ScannedPhotos\1986\CG86-088.10.jpg")</f>
        <v>..\..\Imagery\ScannedPhotos\1986\CG86-088.10.jpg</v>
      </c>
    </row>
    <row r="1690" spans="1:13" x14ac:dyDescent="0.25">
      <c r="A1690" t="s">
        <v>2621</v>
      </c>
      <c r="B1690">
        <v>383298</v>
      </c>
      <c r="C1690">
        <v>5820454</v>
      </c>
      <c r="D1690">
        <v>21</v>
      </c>
      <c r="E1690" t="s">
        <v>15</v>
      </c>
      <c r="F1690" t="s">
        <v>4422</v>
      </c>
      <c r="G1690">
        <v>2</v>
      </c>
      <c r="H1690" t="s">
        <v>775</v>
      </c>
      <c r="I1690" t="s">
        <v>386</v>
      </c>
      <c r="J1690" t="s">
        <v>771</v>
      </c>
      <c r="K1690" t="s">
        <v>56</v>
      </c>
      <c r="L1690" t="s">
        <v>772</v>
      </c>
      <c r="M1690" s="3" t="str">
        <f>HYPERLINK("..\..\Imagery\ScannedPhotos\1997\CG97-249.2.jpg")</f>
        <v>..\..\Imagery\ScannedPhotos\1997\CG97-249.2.jpg</v>
      </c>
    </row>
    <row r="1691" spans="1:13" x14ac:dyDescent="0.25">
      <c r="A1691" t="s">
        <v>4423</v>
      </c>
      <c r="B1691">
        <v>385106</v>
      </c>
      <c r="C1691">
        <v>5822639</v>
      </c>
      <c r="D1691">
        <v>21</v>
      </c>
      <c r="E1691" t="s">
        <v>15</v>
      </c>
      <c r="F1691" t="s">
        <v>4424</v>
      </c>
      <c r="G1691">
        <v>3</v>
      </c>
      <c r="H1691" t="s">
        <v>775</v>
      </c>
      <c r="I1691" t="s">
        <v>222</v>
      </c>
      <c r="J1691" t="s">
        <v>771</v>
      </c>
      <c r="K1691" t="s">
        <v>228</v>
      </c>
      <c r="L1691" t="s">
        <v>4425</v>
      </c>
      <c r="M1691" s="3" t="str">
        <f>HYPERLINK("..\..\Imagery\ScannedPhotos\1997\CG97-252.3.jpg")</f>
        <v>..\..\Imagery\ScannedPhotos\1997\CG97-252.3.jpg</v>
      </c>
    </row>
    <row r="1692" spans="1:13" x14ac:dyDescent="0.25">
      <c r="A1692" t="s">
        <v>4423</v>
      </c>
      <c r="B1692">
        <v>385106</v>
      </c>
      <c r="C1692">
        <v>5822639</v>
      </c>
      <c r="D1692">
        <v>21</v>
      </c>
      <c r="E1692" t="s">
        <v>15</v>
      </c>
      <c r="F1692" t="s">
        <v>4426</v>
      </c>
      <c r="G1692">
        <v>3</v>
      </c>
      <c r="H1692" t="s">
        <v>775</v>
      </c>
      <c r="I1692" t="s">
        <v>214</v>
      </c>
      <c r="J1692" t="s">
        <v>771</v>
      </c>
      <c r="K1692" t="s">
        <v>228</v>
      </c>
      <c r="L1692" t="s">
        <v>4427</v>
      </c>
      <c r="M1692" s="3" t="str">
        <f>HYPERLINK("..\..\Imagery\ScannedPhotos\1997\CG97-252.2.jpg")</f>
        <v>..\..\Imagery\ScannedPhotos\1997\CG97-252.2.jpg</v>
      </c>
    </row>
    <row r="1693" spans="1:13" x14ac:dyDescent="0.25">
      <c r="A1693" t="s">
        <v>4428</v>
      </c>
      <c r="B1693">
        <v>563434</v>
      </c>
      <c r="C1693">
        <v>5846640</v>
      </c>
      <c r="D1693">
        <v>21</v>
      </c>
      <c r="E1693" t="s">
        <v>15</v>
      </c>
      <c r="F1693" t="s">
        <v>4429</v>
      </c>
      <c r="G1693">
        <v>1</v>
      </c>
      <c r="H1693" t="s">
        <v>3162</v>
      </c>
      <c r="I1693" t="s">
        <v>217</v>
      </c>
      <c r="J1693" t="s">
        <v>3163</v>
      </c>
      <c r="K1693" t="s">
        <v>56</v>
      </c>
      <c r="L1693" t="s">
        <v>4430</v>
      </c>
      <c r="M1693" s="3" t="str">
        <f>HYPERLINK("..\..\Imagery\ScannedPhotos\1986\SN86-341.jpg")</f>
        <v>..\..\Imagery\ScannedPhotos\1986\SN86-341.jpg</v>
      </c>
    </row>
    <row r="1694" spans="1:13" x14ac:dyDescent="0.25">
      <c r="A1694" t="s">
        <v>4431</v>
      </c>
      <c r="B1694">
        <v>580871</v>
      </c>
      <c r="C1694">
        <v>5925442</v>
      </c>
      <c r="D1694">
        <v>21</v>
      </c>
      <c r="E1694" t="s">
        <v>15</v>
      </c>
      <c r="F1694" t="s">
        <v>4432</v>
      </c>
      <c r="G1694">
        <v>3</v>
      </c>
      <c r="H1694" t="s">
        <v>1378</v>
      </c>
      <c r="I1694" t="s">
        <v>79</v>
      </c>
      <c r="J1694" t="s">
        <v>628</v>
      </c>
      <c r="K1694" t="s">
        <v>20</v>
      </c>
      <c r="L1694" t="s">
        <v>4433</v>
      </c>
      <c r="M1694" s="3" t="str">
        <f>HYPERLINK("..\..\Imagery\ScannedPhotos\1985\CG85-614.2.jpg")</f>
        <v>..\..\Imagery\ScannedPhotos\1985\CG85-614.2.jpg</v>
      </c>
    </row>
    <row r="1695" spans="1:13" x14ac:dyDescent="0.25">
      <c r="A1695" t="s">
        <v>4431</v>
      </c>
      <c r="B1695">
        <v>580871</v>
      </c>
      <c r="C1695">
        <v>5925442</v>
      </c>
      <c r="D1695">
        <v>21</v>
      </c>
      <c r="E1695" t="s">
        <v>15</v>
      </c>
      <c r="F1695" t="s">
        <v>4434</v>
      </c>
      <c r="G1695">
        <v>3</v>
      </c>
      <c r="H1695" t="s">
        <v>1378</v>
      </c>
      <c r="I1695" t="s">
        <v>281</v>
      </c>
      <c r="J1695" t="s">
        <v>628</v>
      </c>
      <c r="K1695" t="s">
        <v>20</v>
      </c>
      <c r="L1695" t="s">
        <v>4435</v>
      </c>
      <c r="M1695" s="3" t="str">
        <f>HYPERLINK("..\..\Imagery\ScannedPhotos\1985\CG85-614.3.jpg")</f>
        <v>..\..\Imagery\ScannedPhotos\1985\CG85-614.3.jpg</v>
      </c>
    </row>
    <row r="1696" spans="1:13" x14ac:dyDescent="0.25">
      <c r="A1696" t="s">
        <v>4436</v>
      </c>
      <c r="B1696">
        <v>579286</v>
      </c>
      <c r="C1696">
        <v>5926480</v>
      </c>
      <c r="D1696">
        <v>21</v>
      </c>
      <c r="E1696" t="s">
        <v>15</v>
      </c>
      <c r="F1696" t="s">
        <v>4437</v>
      </c>
      <c r="G1696">
        <v>3</v>
      </c>
      <c r="H1696" t="s">
        <v>1378</v>
      </c>
      <c r="I1696" t="s">
        <v>137</v>
      </c>
      <c r="J1696" t="s">
        <v>628</v>
      </c>
      <c r="K1696" t="s">
        <v>20</v>
      </c>
      <c r="L1696" t="s">
        <v>4438</v>
      </c>
      <c r="M1696" s="3" t="str">
        <f>HYPERLINK("..\..\Imagery\ScannedPhotos\1985\CG85-617.1.jpg")</f>
        <v>..\..\Imagery\ScannedPhotos\1985\CG85-617.1.jpg</v>
      </c>
    </row>
    <row r="1697" spans="1:13" x14ac:dyDescent="0.25">
      <c r="A1697" t="s">
        <v>2451</v>
      </c>
      <c r="B1697">
        <v>433910</v>
      </c>
      <c r="C1697">
        <v>5897137</v>
      </c>
      <c r="D1697">
        <v>21</v>
      </c>
      <c r="E1697" t="s">
        <v>15</v>
      </c>
      <c r="F1697" t="s">
        <v>4439</v>
      </c>
      <c r="G1697">
        <v>3</v>
      </c>
      <c r="H1697" t="s">
        <v>2065</v>
      </c>
      <c r="I1697" t="s">
        <v>94</v>
      </c>
      <c r="J1697" t="s">
        <v>156</v>
      </c>
      <c r="K1697" t="s">
        <v>56</v>
      </c>
      <c r="L1697" t="s">
        <v>4440</v>
      </c>
      <c r="M1697" s="3" t="str">
        <f>HYPERLINK("..\..\Imagery\ScannedPhotos\1984\NN84-053.3.jpg")</f>
        <v>..\..\Imagery\ScannedPhotos\1984\NN84-053.3.jpg</v>
      </c>
    </row>
    <row r="1698" spans="1:13" x14ac:dyDescent="0.25">
      <c r="A1698" t="s">
        <v>3511</v>
      </c>
      <c r="B1698">
        <v>434975</v>
      </c>
      <c r="C1698">
        <v>5898877</v>
      </c>
      <c r="D1698">
        <v>21</v>
      </c>
      <c r="E1698" t="s">
        <v>15</v>
      </c>
      <c r="F1698" t="s">
        <v>4441</v>
      </c>
      <c r="G1698">
        <v>3</v>
      </c>
      <c r="H1698" t="s">
        <v>2065</v>
      </c>
      <c r="I1698" t="s">
        <v>217</v>
      </c>
      <c r="J1698" t="s">
        <v>156</v>
      </c>
      <c r="K1698" t="s">
        <v>56</v>
      </c>
      <c r="L1698" t="s">
        <v>3513</v>
      </c>
      <c r="M1698" s="3" t="str">
        <f>HYPERLINK("..\..\Imagery\ScannedPhotos\1984\NN84-057.2.jpg")</f>
        <v>..\..\Imagery\ScannedPhotos\1984\NN84-057.2.jpg</v>
      </c>
    </row>
    <row r="1699" spans="1:13" x14ac:dyDescent="0.25">
      <c r="A1699" t="s">
        <v>32</v>
      </c>
      <c r="B1699">
        <v>596446</v>
      </c>
      <c r="C1699">
        <v>5792950</v>
      </c>
      <c r="D1699">
        <v>21</v>
      </c>
      <c r="E1699" t="s">
        <v>15</v>
      </c>
      <c r="F1699" t="s">
        <v>4442</v>
      </c>
      <c r="G1699">
        <v>40</v>
      </c>
      <c r="H1699" t="s">
        <v>34</v>
      </c>
      <c r="I1699" t="s">
        <v>137</v>
      </c>
      <c r="J1699" t="s">
        <v>36</v>
      </c>
      <c r="K1699" t="s">
        <v>20</v>
      </c>
      <c r="L1699" t="s">
        <v>37</v>
      </c>
      <c r="M1699" s="3" t="str">
        <f>HYPERLINK("..\..\Imagery\ScannedPhotos\1987\CG87-488.15.jpg")</f>
        <v>..\..\Imagery\ScannedPhotos\1987\CG87-488.15.jpg</v>
      </c>
    </row>
    <row r="1700" spans="1:13" x14ac:dyDescent="0.25">
      <c r="A1700" t="s">
        <v>859</v>
      </c>
      <c r="B1700">
        <v>480915</v>
      </c>
      <c r="C1700">
        <v>5931165</v>
      </c>
      <c r="D1700">
        <v>21</v>
      </c>
      <c r="E1700" t="s">
        <v>15</v>
      </c>
      <c r="F1700" t="s">
        <v>4443</v>
      </c>
      <c r="G1700">
        <v>10</v>
      </c>
      <c r="H1700" t="s">
        <v>3982</v>
      </c>
      <c r="I1700" t="s">
        <v>69</v>
      </c>
      <c r="J1700" t="s">
        <v>2247</v>
      </c>
      <c r="K1700" t="s">
        <v>20</v>
      </c>
      <c r="L1700" t="s">
        <v>4444</v>
      </c>
      <c r="M1700" s="3" t="str">
        <f>HYPERLINK("..\..\Imagery\ScannedPhotos\1984\CG84-436.1.jpg")</f>
        <v>..\..\Imagery\ScannedPhotos\1984\CG84-436.1.jpg</v>
      </c>
    </row>
    <row r="1701" spans="1:13" x14ac:dyDescent="0.25">
      <c r="A1701" t="s">
        <v>3760</v>
      </c>
      <c r="B1701">
        <v>374786</v>
      </c>
      <c r="C1701">
        <v>5917965</v>
      </c>
      <c r="D1701">
        <v>21</v>
      </c>
      <c r="E1701" t="s">
        <v>15</v>
      </c>
      <c r="F1701" t="s">
        <v>4445</v>
      </c>
      <c r="G1701">
        <v>2</v>
      </c>
      <c r="H1701" t="s">
        <v>3762</v>
      </c>
      <c r="I1701" t="s">
        <v>137</v>
      </c>
      <c r="J1701" t="s">
        <v>557</v>
      </c>
      <c r="K1701" t="s">
        <v>20</v>
      </c>
      <c r="L1701" t="s">
        <v>3763</v>
      </c>
      <c r="M1701" s="3" t="str">
        <f>HYPERLINK("..\..\Imagery\ScannedPhotos\1995\CG95-228.2.jpg")</f>
        <v>..\..\Imagery\ScannedPhotos\1995\CG95-228.2.jpg</v>
      </c>
    </row>
    <row r="1702" spans="1:13" x14ac:dyDescent="0.25">
      <c r="A1702" t="s">
        <v>4446</v>
      </c>
      <c r="B1702">
        <v>419348</v>
      </c>
      <c r="C1702">
        <v>6008035</v>
      </c>
      <c r="D1702">
        <v>21</v>
      </c>
      <c r="E1702" t="s">
        <v>15</v>
      </c>
      <c r="F1702" t="s">
        <v>4447</v>
      </c>
      <c r="G1702">
        <v>1</v>
      </c>
      <c r="H1702" t="s">
        <v>900</v>
      </c>
      <c r="I1702" t="s">
        <v>304</v>
      </c>
      <c r="J1702" t="s">
        <v>652</v>
      </c>
      <c r="K1702" t="s">
        <v>20</v>
      </c>
      <c r="L1702" t="s">
        <v>1020</v>
      </c>
      <c r="M1702" s="3" t="str">
        <f>HYPERLINK("..\..\Imagery\ScannedPhotos\1980\RG80-021.jpg")</f>
        <v>..\..\Imagery\ScannedPhotos\1980\RG80-021.jpg</v>
      </c>
    </row>
    <row r="1703" spans="1:13" x14ac:dyDescent="0.25">
      <c r="A1703" t="s">
        <v>4448</v>
      </c>
      <c r="B1703">
        <v>419543</v>
      </c>
      <c r="C1703">
        <v>6008557</v>
      </c>
      <c r="D1703">
        <v>21</v>
      </c>
      <c r="E1703" t="s">
        <v>15</v>
      </c>
      <c r="F1703" t="s">
        <v>4449</v>
      </c>
      <c r="G1703">
        <v>2</v>
      </c>
      <c r="H1703" t="s">
        <v>900</v>
      </c>
      <c r="I1703" t="s">
        <v>25</v>
      </c>
      <c r="J1703" t="s">
        <v>652</v>
      </c>
      <c r="K1703" t="s">
        <v>20</v>
      </c>
      <c r="L1703" t="s">
        <v>4450</v>
      </c>
      <c r="M1703" s="3" t="str">
        <f>HYPERLINK("..\..\Imagery\ScannedPhotos\1980\RG80-024.2.jpg")</f>
        <v>..\..\Imagery\ScannedPhotos\1980\RG80-024.2.jpg</v>
      </c>
    </row>
    <row r="1704" spans="1:13" x14ac:dyDescent="0.25">
      <c r="A1704" t="s">
        <v>4448</v>
      </c>
      <c r="B1704">
        <v>419543</v>
      </c>
      <c r="C1704">
        <v>6008557</v>
      </c>
      <c r="D1704">
        <v>21</v>
      </c>
      <c r="E1704" t="s">
        <v>15</v>
      </c>
      <c r="F1704" t="s">
        <v>4451</v>
      </c>
      <c r="G1704">
        <v>2</v>
      </c>
      <c r="H1704" t="s">
        <v>900</v>
      </c>
      <c r="I1704" t="s">
        <v>195</v>
      </c>
      <c r="J1704" t="s">
        <v>652</v>
      </c>
      <c r="K1704" t="s">
        <v>20</v>
      </c>
      <c r="L1704" t="s">
        <v>4452</v>
      </c>
      <c r="M1704" s="3" t="str">
        <f>HYPERLINK("..\..\Imagery\ScannedPhotos\1980\RG80-024.1.jpg")</f>
        <v>..\..\Imagery\ScannedPhotos\1980\RG80-024.1.jpg</v>
      </c>
    </row>
    <row r="1705" spans="1:13" x14ac:dyDescent="0.25">
      <c r="A1705" t="s">
        <v>2678</v>
      </c>
      <c r="B1705">
        <v>541105</v>
      </c>
      <c r="C1705">
        <v>5941824</v>
      </c>
      <c r="D1705">
        <v>21</v>
      </c>
      <c r="E1705" t="s">
        <v>15</v>
      </c>
      <c r="F1705" t="s">
        <v>4453</v>
      </c>
      <c r="G1705">
        <v>5</v>
      </c>
      <c r="H1705" t="s">
        <v>817</v>
      </c>
      <c r="I1705" t="s">
        <v>108</v>
      </c>
      <c r="J1705" t="s">
        <v>48</v>
      </c>
      <c r="K1705" t="s">
        <v>20</v>
      </c>
      <c r="L1705" t="s">
        <v>4454</v>
      </c>
      <c r="M1705" s="3" t="str">
        <f>HYPERLINK("..\..\Imagery\ScannedPhotos\1981\VO81-579.4.jpg")</f>
        <v>..\..\Imagery\ScannedPhotos\1981\VO81-579.4.jpg</v>
      </c>
    </row>
    <row r="1706" spans="1:13" x14ac:dyDescent="0.25">
      <c r="A1706" t="s">
        <v>4455</v>
      </c>
      <c r="B1706">
        <v>529524</v>
      </c>
      <c r="C1706">
        <v>5943533</v>
      </c>
      <c r="D1706">
        <v>21</v>
      </c>
      <c r="E1706" t="s">
        <v>15</v>
      </c>
      <c r="F1706" t="s">
        <v>4456</v>
      </c>
      <c r="G1706">
        <v>1</v>
      </c>
      <c r="H1706" t="s">
        <v>845</v>
      </c>
      <c r="I1706" t="s">
        <v>69</v>
      </c>
      <c r="J1706" t="s">
        <v>48</v>
      </c>
      <c r="K1706" t="s">
        <v>20</v>
      </c>
      <c r="L1706" t="s">
        <v>4457</v>
      </c>
      <c r="M1706" s="3" t="str">
        <f>HYPERLINK("..\..\Imagery\ScannedPhotos\1981\CG81-433.jpg")</f>
        <v>..\..\Imagery\ScannedPhotos\1981\CG81-433.jpg</v>
      </c>
    </row>
    <row r="1707" spans="1:13" x14ac:dyDescent="0.25">
      <c r="A1707" t="s">
        <v>4458</v>
      </c>
      <c r="B1707">
        <v>530631</v>
      </c>
      <c r="C1707">
        <v>5943049</v>
      </c>
      <c r="D1707">
        <v>21</v>
      </c>
      <c r="E1707" t="s">
        <v>15</v>
      </c>
      <c r="F1707" t="s">
        <v>4459</v>
      </c>
      <c r="G1707">
        <v>2</v>
      </c>
      <c r="H1707" t="s">
        <v>1405</v>
      </c>
      <c r="I1707" t="s">
        <v>222</v>
      </c>
      <c r="J1707" t="s">
        <v>48</v>
      </c>
      <c r="K1707" t="s">
        <v>109</v>
      </c>
      <c r="L1707" t="s">
        <v>4460</v>
      </c>
      <c r="M1707" s="3" t="str">
        <f>HYPERLINK("..\..\Imagery\ScannedPhotos\1981\CG81-436.2.jpg")</f>
        <v>..\..\Imagery\ScannedPhotos\1981\CG81-436.2.jpg</v>
      </c>
    </row>
    <row r="1708" spans="1:13" x14ac:dyDescent="0.25">
      <c r="A1708" t="s">
        <v>4458</v>
      </c>
      <c r="B1708">
        <v>530631</v>
      </c>
      <c r="C1708">
        <v>5943049</v>
      </c>
      <c r="D1708">
        <v>21</v>
      </c>
      <c r="E1708" t="s">
        <v>15</v>
      </c>
      <c r="F1708" t="s">
        <v>4461</v>
      </c>
      <c r="G1708">
        <v>2</v>
      </c>
      <c r="H1708" t="s">
        <v>1405</v>
      </c>
      <c r="I1708" t="s">
        <v>214</v>
      </c>
      <c r="J1708" t="s">
        <v>48</v>
      </c>
      <c r="K1708" t="s">
        <v>109</v>
      </c>
      <c r="L1708" t="s">
        <v>4462</v>
      </c>
      <c r="M1708" s="3" t="str">
        <f>HYPERLINK("..\..\Imagery\ScannedPhotos\1981\CG81-436.1.jpg")</f>
        <v>..\..\Imagery\ScannedPhotos\1981\CG81-436.1.jpg</v>
      </c>
    </row>
    <row r="1709" spans="1:13" x14ac:dyDescent="0.25">
      <c r="A1709" t="s">
        <v>4463</v>
      </c>
      <c r="B1709">
        <v>527410</v>
      </c>
      <c r="C1709">
        <v>5946201</v>
      </c>
      <c r="D1709">
        <v>21</v>
      </c>
      <c r="E1709" t="s">
        <v>15</v>
      </c>
      <c r="F1709" t="s">
        <v>4464</v>
      </c>
      <c r="G1709">
        <v>1</v>
      </c>
      <c r="H1709" t="s">
        <v>845</v>
      </c>
      <c r="I1709" t="s">
        <v>74</v>
      </c>
      <c r="J1709" t="s">
        <v>48</v>
      </c>
      <c r="K1709" t="s">
        <v>20</v>
      </c>
      <c r="L1709" t="s">
        <v>4465</v>
      </c>
      <c r="M1709" s="3" t="str">
        <f>HYPERLINK("..\..\Imagery\ScannedPhotos\1981\CG81-445.jpg")</f>
        <v>..\..\Imagery\ScannedPhotos\1981\CG81-445.jpg</v>
      </c>
    </row>
    <row r="1710" spans="1:13" x14ac:dyDescent="0.25">
      <c r="A1710" t="s">
        <v>4466</v>
      </c>
      <c r="B1710">
        <v>529672</v>
      </c>
      <c r="C1710">
        <v>5946422</v>
      </c>
      <c r="D1710">
        <v>21</v>
      </c>
      <c r="E1710" t="s">
        <v>15</v>
      </c>
      <c r="F1710" t="s">
        <v>4467</v>
      </c>
      <c r="G1710">
        <v>1</v>
      </c>
      <c r="H1710" t="s">
        <v>845</v>
      </c>
      <c r="I1710" t="s">
        <v>41</v>
      </c>
      <c r="J1710" t="s">
        <v>48</v>
      </c>
      <c r="K1710" t="s">
        <v>20</v>
      </c>
      <c r="L1710" t="s">
        <v>4468</v>
      </c>
      <c r="M1710" s="3" t="str">
        <f>HYPERLINK("..\..\Imagery\ScannedPhotos\1981\CG81-448.jpg")</f>
        <v>..\..\Imagery\ScannedPhotos\1981\CG81-448.jpg</v>
      </c>
    </row>
    <row r="1711" spans="1:13" x14ac:dyDescent="0.25">
      <c r="A1711" t="s">
        <v>1843</v>
      </c>
      <c r="B1711">
        <v>535813</v>
      </c>
      <c r="C1711">
        <v>5834342</v>
      </c>
      <c r="D1711">
        <v>21</v>
      </c>
      <c r="E1711" t="s">
        <v>15</v>
      </c>
      <c r="F1711" t="s">
        <v>4469</v>
      </c>
      <c r="G1711">
        <v>4</v>
      </c>
      <c r="K1711" t="s">
        <v>20</v>
      </c>
      <c r="L1711" t="s">
        <v>1932</v>
      </c>
      <c r="M1711" s="3" t="str">
        <f>HYPERLINK("..\..\Imagery\ScannedPhotos\2004\CG04-054.3.jpg")</f>
        <v>..\..\Imagery\ScannedPhotos\2004\CG04-054.3.jpg</v>
      </c>
    </row>
    <row r="1712" spans="1:13" x14ac:dyDescent="0.25">
      <c r="A1712" t="s">
        <v>4470</v>
      </c>
      <c r="B1712">
        <v>581923</v>
      </c>
      <c r="C1712">
        <v>5900337</v>
      </c>
      <c r="D1712">
        <v>21</v>
      </c>
      <c r="E1712" t="s">
        <v>15</v>
      </c>
      <c r="F1712" t="s">
        <v>4471</v>
      </c>
      <c r="G1712">
        <v>2</v>
      </c>
      <c r="H1712" t="s">
        <v>1373</v>
      </c>
      <c r="I1712" t="s">
        <v>25</v>
      </c>
      <c r="J1712" t="s">
        <v>1374</v>
      </c>
      <c r="K1712" t="s">
        <v>20</v>
      </c>
      <c r="L1712" t="s">
        <v>4472</v>
      </c>
      <c r="M1712" s="3" t="str">
        <f>HYPERLINK("..\..\Imagery\ScannedPhotos\1985\CG85-529.2.jpg")</f>
        <v>..\..\Imagery\ScannedPhotos\1985\CG85-529.2.jpg</v>
      </c>
    </row>
    <row r="1713" spans="1:13" x14ac:dyDescent="0.25">
      <c r="A1713" t="s">
        <v>4473</v>
      </c>
      <c r="B1713">
        <v>582416</v>
      </c>
      <c r="C1713">
        <v>5899864</v>
      </c>
      <c r="D1713">
        <v>21</v>
      </c>
      <c r="E1713" t="s">
        <v>15</v>
      </c>
      <c r="F1713" t="s">
        <v>4474</v>
      </c>
      <c r="G1713">
        <v>1</v>
      </c>
      <c r="H1713" t="s">
        <v>1373</v>
      </c>
      <c r="I1713" t="s">
        <v>360</v>
      </c>
      <c r="J1713" t="s">
        <v>1374</v>
      </c>
      <c r="K1713" t="s">
        <v>20</v>
      </c>
      <c r="L1713" t="s">
        <v>4475</v>
      </c>
      <c r="M1713" s="3" t="str">
        <f>HYPERLINK("..\..\Imagery\ScannedPhotos\1985\CG85-531.jpg")</f>
        <v>..\..\Imagery\ScannedPhotos\1985\CG85-531.jpg</v>
      </c>
    </row>
    <row r="1714" spans="1:13" x14ac:dyDescent="0.25">
      <c r="A1714" t="s">
        <v>1376</v>
      </c>
      <c r="B1714">
        <v>581927</v>
      </c>
      <c r="C1714">
        <v>5899392</v>
      </c>
      <c r="D1714">
        <v>21</v>
      </c>
      <c r="E1714" t="s">
        <v>15</v>
      </c>
      <c r="F1714" t="s">
        <v>4476</v>
      </c>
      <c r="G1714">
        <v>3</v>
      </c>
      <c r="H1714" t="s">
        <v>1378</v>
      </c>
      <c r="I1714" t="s">
        <v>114</v>
      </c>
      <c r="J1714" t="s">
        <v>628</v>
      </c>
      <c r="K1714" t="s">
        <v>20</v>
      </c>
      <c r="L1714" t="s">
        <v>4477</v>
      </c>
      <c r="M1714" s="3" t="str">
        <f>HYPERLINK("..\..\Imagery\ScannedPhotos\1985\CG85-532.2.jpg")</f>
        <v>..\..\Imagery\ScannedPhotos\1985\CG85-532.2.jpg</v>
      </c>
    </row>
    <row r="1715" spans="1:13" x14ac:dyDescent="0.25">
      <c r="A1715" t="s">
        <v>4478</v>
      </c>
      <c r="B1715">
        <v>456158</v>
      </c>
      <c r="C1715">
        <v>5907387</v>
      </c>
      <c r="D1715">
        <v>21</v>
      </c>
      <c r="E1715" t="s">
        <v>15</v>
      </c>
      <c r="F1715" t="s">
        <v>4479</v>
      </c>
      <c r="G1715">
        <v>1</v>
      </c>
      <c r="H1715" t="s">
        <v>632</v>
      </c>
      <c r="I1715" t="s">
        <v>143</v>
      </c>
      <c r="J1715" t="s">
        <v>633</v>
      </c>
      <c r="K1715" t="s">
        <v>56</v>
      </c>
      <c r="L1715" t="s">
        <v>1020</v>
      </c>
      <c r="M1715" s="3" t="str">
        <f>HYPERLINK("..\..\Imagery\ScannedPhotos\1977\MC77-132.jpg")</f>
        <v>..\..\Imagery\ScannedPhotos\1977\MC77-132.jpg</v>
      </c>
    </row>
    <row r="1716" spans="1:13" x14ac:dyDescent="0.25">
      <c r="A1716" t="s">
        <v>4480</v>
      </c>
      <c r="B1716">
        <v>347789</v>
      </c>
      <c r="C1716">
        <v>6064561</v>
      </c>
      <c r="D1716">
        <v>21</v>
      </c>
      <c r="E1716" t="s">
        <v>15</v>
      </c>
      <c r="F1716" t="s">
        <v>4481</v>
      </c>
      <c r="G1716">
        <v>1</v>
      </c>
      <c r="H1716" t="s">
        <v>3278</v>
      </c>
      <c r="I1716" t="s">
        <v>281</v>
      </c>
      <c r="J1716" t="s">
        <v>3279</v>
      </c>
      <c r="K1716" t="s">
        <v>20</v>
      </c>
      <c r="L1716" t="s">
        <v>4482</v>
      </c>
      <c r="M1716" s="3" t="str">
        <f>HYPERLINK("..\..\Imagery\ScannedPhotos\1978\AL78-276.jpg")</f>
        <v>..\..\Imagery\ScannedPhotos\1978\AL78-276.jpg</v>
      </c>
    </row>
    <row r="1717" spans="1:13" x14ac:dyDescent="0.25">
      <c r="A1717" t="s">
        <v>4483</v>
      </c>
      <c r="B1717">
        <v>342306</v>
      </c>
      <c r="C1717">
        <v>6063415</v>
      </c>
      <c r="D1717">
        <v>21</v>
      </c>
      <c r="E1717" t="s">
        <v>15</v>
      </c>
      <c r="F1717" t="s">
        <v>4484</v>
      </c>
      <c r="G1717">
        <v>2</v>
      </c>
      <c r="H1717" t="s">
        <v>3278</v>
      </c>
      <c r="I1717" t="s">
        <v>94</v>
      </c>
      <c r="J1717" t="s">
        <v>3279</v>
      </c>
      <c r="K1717" t="s">
        <v>56</v>
      </c>
      <c r="L1717" t="s">
        <v>4485</v>
      </c>
      <c r="M1717" s="3" t="str">
        <f>HYPERLINK("..\..\Imagery\ScannedPhotos\1978\AL78-280.1.jpg")</f>
        <v>..\..\Imagery\ScannedPhotos\1978\AL78-280.1.jpg</v>
      </c>
    </row>
    <row r="1718" spans="1:13" x14ac:dyDescent="0.25">
      <c r="A1718" t="s">
        <v>4483</v>
      </c>
      <c r="B1718">
        <v>342306</v>
      </c>
      <c r="C1718">
        <v>6063415</v>
      </c>
      <c r="D1718">
        <v>21</v>
      </c>
      <c r="E1718" t="s">
        <v>15</v>
      </c>
      <c r="F1718" t="s">
        <v>4486</v>
      </c>
      <c r="G1718">
        <v>2</v>
      </c>
      <c r="H1718" t="s">
        <v>3278</v>
      </c>
      <c r="I1718" t="s">
        <v>209</v>
      </c>
      <c r="J1718" t="s">
        <v>3279</v>
      </c>
      <c r="K1718" t="s">
        <v>20</v>
      </c>
      <c r="L1718" t="s">
        <v>4487</v>
      </c>
      <c r="M1718" s="3" t="str">
        <f>HYPERLINK("..\..\Imagery\ScannedPhotos\1978\AL78-280.2.jpg")</f>
        <v>..\..\Imagery\ScannedPhotos\1978\AL78-280.2.jpg</v>
      </c>
    </row>
    <row r="1719" spans="1:13" x14ac:dyDescent="0.25">
      <c r="A1719" t="s">
        <v>4488</v>
      </c>
      <c r="B1719">
        <v>342789</v>
      </c>
      <c r="C1719">
        <v>6065472</v>
      </c>
      <c r="D1719">
        <v>21</v>
      </c>
      <c r="E1719" t="s">
        <v>15</v>
      </c>
      <c r="F1719" t="s">
        <v>4489</v>
      </c>
      <c r="G1719">
        <v>3</v>
      </c>
      <c r="H1719" t="s">
        <v>3278</v>
      </c>
      <c r="I1719" t="s">
        <v>418</v>
      </c>
      <c r="J1719" t="s">
        <v>3279</v>
      </c>
      <c r="K1719" t="s">
        <v>20</v>
      </c>
      <c r="L1719" t="s">
        <v>4490</v>
      </c>
      <c r="M1719" s="3" t="str">
        <f>HYPERLINK("..\..\Imagery\ScannedPhotos\1978\AL78-284.2.jpg")</f>
        <v>..\..\Imagery\ScannedPhotos\1978\AL78-284.2.jpg</v>
      </c>
    </row>
    <row r="1720" spans="1:13" x14ac:dyDescent="0.25">
      <c r="A1720" t="s">
        <v>4488</v>
      </c>
      <c r="B1720">
        <v>342789</v>
      </c>
      <c r="C1720">
        <v>6065472</v>
      </c>
      <c r="D1720">
        <v>21</v>
      </c>
      <c r="E1720" t="s">
        <v>15</v>
      </c>
      <c r="F1720" t="s">
        <v>4491</v>
      </c>
      <c r="G1720">
        <v>3</v>
      </c>
      <c r="H1720" t="s">
        <v>3278</v>
      </c>
      <c r="I1720" t="s">
        <v>304</v>
      </c>
      <c r="J1720" t="s">
        <v>3279</v>
      </c>
      <c r="K1720" t="s">
        <v>20</v>
      </c>
      <c r="L1720" t="s">
        <v>4492</v>
      </c>
      <c r="M1720" s="3" t="str">
        <f>HYPERLINK("..\..\Imagery\ScannedPhotos\1978\AL78-284.3.jpg")</f>
        <v>..\..\Imagery\ScannedPhotos\1978\AL78-284.3.jpg</v>
      </c>
    </row>
    <row r="1721" spans="1:13" x14ac:dyDescent="0.25">
      <c r="A1721" t="s">
        <v>2013</v>
      </c>
      <c r="B1721">
        <v>403718</v>
      </c>
      <c r="C1721">
        <v>6006491</v>
      </c>
      <c r="D1721">
        <v>21</v>
      </c>
      <c r="E1721" t="s">
        <v>15</v>
      </c>
      <c r="F1721" t="s">
        <v>4493</v>
      </c>
      <c r="G1721">
        <v>5</v>
      </c>
      <c r="H1721" t="s">
        <v>1593</v>
      </c>
      <c r="I1721" t="s">
        <v>304</v>
      </c>
      <c r="J1721" t="s">
        <v>1594</v>
      </c>
      <c r="K1721" t="s">
        <v>20</v>
      </c>
      <c r="L1721" t="s">
        <v>4494</v>
      </c>
      <c r="M1721" s="3" t="str">
        <f>HYPERLINK("..\..\Imagery\ScannedPhotos\1980\NN80-020.1.jpg")</f>
        <v>..\..\Imagery\ScannedPhotos\1980\NN80-020.1.jpg</v>
      </c>
    </row>
    <row r="1722" spans="1:13" x14ac:dyDescent="0.25">
      <c r="A1722" t="s">
        <v>4495</v>
      </c>
      <c r="B1722">
        <v>372608</v>
      </c>
      <c r="C1722">
        <v>5910638</v>
      </c>
      <c r="D1722">
        <v>21</v>
      </c>
      <c r="E1722" t="s">
        <v>15</v>
      </c>
      <c r="F1722" t="s">
        <v>4496</v>
      </c>
      <c r="G1722">
        <v>2</v>
      </c>
      <c r="H1722" t="s">
        <v>562</v>
      </c>
      <c r="I1722" t="s">
        <v>119</v>
      </c>
      <c r="J1722" t="s">
        <v>563</v>
      </c>
      <c r="K1722" t="s">
        <v>56</v>
      </c>
      <c r="L1722" t="s">
        <v>4497</v>
      </c>
      <c r="M1722" s="3" t="str">
        <f>HYPERLINK("..\..\Imagery\ScannedPhotos\1995\VN95-152.1.jpg")</f>
        <v>..\..\Imagery\ScannedPhotos\1995\VN95-152.1.jpg</v>
      </c>
    </row>
    <row r="1723" spans="1:13" x14ac:dyDescent="0.25">
      <c r="A1723" t="s">
        <v>4495</v>
      </c>
      <c r="B1723">
        <v>372608</v>
      </c>
      <c r="C1723">
        <v>5910638</v>
      </c>
      <c r="D1723">
        <v>21</v>
      </c>
      <c r="E1723" t="s">
        <v>15</v>
      </c>
      <c r="F1723" t="s">
        <v>4498</v>
      </c>
      <c r="G1723">
        <v>2</v>
      </c>
      <c r="H1723" t="s">
        <v>562</v>
      </c>
      <c r="I1723" t="s">
        <v>122</v>
      </c>
      <c r="J1723" t="s">
        <v>563</v>
      </c>
      <c r="K1723" t="s">
        <v>56</v>
      </c>
      <c r="L1723" t="s">
        <v>4497</v>
      </c>
      <c r="M1723" s="3" t="str">
        <f>HYPERLINK("..\..\Imagery\ScannedPhotos\1995\VN95-152.2.jpg")</f>
        <v>..\..\Imagery\ScannedPhotos\1995\VN95-152.2.jpg</v>
      </c>
    </row>
    <row r="1724" spans="1:13" x14ac:dyDescent="0.25">
      <c r="A1724" t="s">
        <v>4499</v>
      </c>
      <c r="B1724">
        <v>370842</v>
      </c>
      <c r="C1724">
        <v>5910543</v>
      </c>
      <c r="D1724">
        <v>21</v>
      </c>
      <c r="E1724" t="s">
        <v>15</v>
      </c>
      <c r="F1724" t="s">
        <v>4500</v>
      </c>
      <c r="G1724">
        <v>2</v>
      </c>
      <c r="H1724" t="s">
        <v>562</v>
      </c>
      <c r="I1724" t="s">
        <v>126</v>
      </c>
      <c r="J1724" t="s">
        <v>563</v>
      </c>
      <c r="K1724" t="s">
        <v>56</v>
      </c>
      <c r="L1724" t="s">
        <v>4497</v>
      </c>
      <c r="M1724" s="3" t="str">
        <f>HYPERLINK("..\..\Imagery\ScannedPhotos\1995\VN95-154.1.jpg")</f>
        <v>..\..\Imagery\ScannedPhotos\1995\VN95-154.1.jpg</v>
      </c>
    </row>
    <row r="1725" spans="1:13" x14ac:dyDescent="0.25">
      <c r="A1725" t="s">
        <v>4501</v>
      </c>
      <c r="B1725">
        <v>560072</v>
      </c>
      <c r="C1725">
        <v>5833313</v>
      </c>
      <c r="D1725">
        <v>21</v>
      </c>
      <c r="E1725" t="s">
        <v>15</v>
      </c>
      <c r="F1725" t="s">
        <v>4502</v>
      </c>
      <c r="G1725">
        <v>1</v>
      </c>
      <c r="H1725" t="s">
        <v>1851</v>
      </c>
      <c r="I1725" t="s">
        <v>217</v>
      </c>
      <c r="J1725" t="s">
        <v>1852</v>
      </c>
      <c r="K1725" t="s">
        <v>20</v>
      </c>
      <c r="L1725" t="s">
        <v>4503</v>
      </c>
      <c r="M1725" s="3" t="str">
        <f>HYPERLINK("..\..\Imagery\ScannedPhotos\1986\MN86-320.jpg")</f>
        <v>..\..\Imagery\ScannedPhotos\1986\MN86-320.jpg</v>
      </c>
    </row>
    <row r="1726" spans="1:13" x14ac:dyDescent="0.25">
      <c r="A1726" t="s">
        <v>4504</v>
      </c>
      <c r="B1726">
        <v>464726</v>
      </c>
      <c r="C1726">
        <v>5927866</v>
      </c>
      <c r="D1726">
        <v>21</v>
      </c>
      <c r="E1726" t="s">
        <v>15</v>
      </c>
      <c r="F1726" t="s">
        <v>4505</v>
      </c>
      <c r="G1726">
        <v>8</v>
      </c>
      <c r="H1726" t="s">
        <v>4506</v>
      </c>
      <c r="I1726" t="s">
        <v>94</v>
      </c>
      <c r="J1726" t="s">
        <v>2247</v>
      </c>
      <c r="K1726" t="s">
        <v>56</v>
      </c>
      <c r="L1726" t="s">
        <v>4507</v>
      </c>
      <c r="M1726" s="3" t="str">
        <f>HYPERLINK("..\..\Imagery\ScannedPhotos\1984\CG84-442.2.jpg")</f>
        <v>..\..\Imagery\ScannedPhotos\1984\CG84-442.2.jpg</v>
      </c>
    </row>
    <row r="1727" spans="1:13" x14ac:dyDescent="0.25">
      <c r="A1727" t="s">
        <v>4504</v>
      </c>
      <c r="B1727">
        <v>464726</v>
      </c>
      <c r="C1727">
        <v>5927866</v>
      </c>
      <c r="D1727">
        <v>21</v>
      </c>
      <c r="E1727" t="s">
        <v>15</v>
      </c>
      <c r="F1727" t="s">
        <v>4508</v>
      </c>
      <c r="G1727">
        <v>8</v>
      </c>
      <c r="H1727" t="s">
        <v>4506</v>
      </c>
      <c r="I1727" t="s">
        <v>222</v>
      </c>
      <c r="J1727" t="s">
        <v>2247</v>
      </c>
      <c r="K1727" t="s">
        <v>56</v>
      </c>
      <c r="L1727" t="s">
        <v>4509</v>
      </c>
      <c r="M1727" s="3" t="str">
        <f>HYPERLINK("..\..\Imagery\ScannedPhotos\1984\CG84-442.7.jpg")</f>
        <v>..\..\Imagery\ScannedPhotos\1984\CG84-442.7.jpg</v>
      </c>
    </row>
    <row r="1728" spans="1:13" x14ac:dyDescent="0.25">
      <c r="A1728" t="s">
        <v>4510</v>
      </c>
      <c r="B1728">
        <v>406482</v>
      </c>
      <c r="C1728">
        <v>5997304</v>
      </c>
      <c r="D1728">
        <v>21</v>
      </c>
      <c r="E1728" t="s">
        <v>15</v>
      </c>
      <c r="F1728" t="s">
        <v>4511</v>
      </c>
      <c r="G1728">
        <v>1</v>
      </c>
      <c r="H1728" t="s">
        <v>1156</v>
      </c>
      <c r="I1728" t="s">
        <v>195</v>
      </c>
      <c r="J1728" t="s">
        <v>95</v>
      </c>
      <c r="K1728" t="s">
        <v>20</v>
      </c>
      <c r="L1728" t="s">
        <v>4512</v>
      </c>
      <c r="M1728" s="3" t="str">
        <f>HYPERLINK("..\..\Imagery\ScannedPhotos\1980\CG80-135.jpg")</f>
        <v>..\..\Imagery\ScannedPhotos\1980\CG80-135.jpg</v>
      </c>
    </row>
    <row r="1729" spans="1:13" x14ac:dyDescent="0.25">
      <c r="A1729" t="s">
        <v>4513</v>
      </c>
      <c r="B1729">
        <v>482280</v>
      </c>
      <c r="C1729">
        <v>5831770</v>
      </c>
      <c r="D1729">
        <v>21</v>
      </c>
      <c r="E1729" t="s">
        <v>15</v>
      </c>
      <c r="F1729" t="s">
        <v>4514</v>
      </c>
      <c r="G1729">
        <v>2</v>
      </c>
      <c r="H1729" t="s">
        <v>2789</v>
      </c>
      <c r="I1729" t="s">
        <v>147</v>
      </c>
      <c r="J1729" t="s">
        <v>413</v>
      </c>
      <c r="K1729" t="s">
        <v>20</v>
      </c>
      <c r="L1729" t="s">
        <v>4515</v>
      </c>
      <c r="M1729" s="3" t="str">
        <f>HYPERLINK("..\..\Imagery\ScannedPhotos\1991\VN91-151.1.jpg")</f>
        <v>..\..\Imagery\ScannedPhotos\1991\VN91-151.1.jpg</v>
      </c>
    </row>
    <row r="1730" spans="1:13" x14ac:dyDescent="0.25">
      <c r="A1730" t="s">
        <v>4516</v>
      </c>
      <c r="B1730">
        <v>581329</v>
      </c>
      <c r="C1730">
        <v>5917569</v>
      </c>
      <c r="D1730">
        <v>21</v>
      </c>
      <c r="E1730" t="s">
        <v>15</v>
      </c>
      <c r="F1730" t="s">
        <v>4517</v>
      </c>
      <c r="G1730">
        <v>2</v>
      </c>
      <c r="H1730" t="s">
        <v>2855</v>
      </c>
      <c r="I1730" t="s">
        <v>217</v>
      </c>
      <c r="J1730" t="s">
        <v>1583</v>
      </c>
      <c r="K1730" t="s">
        <v>20</v>
      </c>
      <c r="L1730" t="s">
        <v>4518</v>
      </c>
      <c r="M1730" s="3" t="str">
        <f>HYPERLINK("..\..\Imagery\ScannedPhotos\1985\CG85-590.2.jpg")</f>
        <v>..\..\Imagery\ScannedPhotos\1985\CG85-590.2.jpg</v>
      </c>
    </row>
    <row r="1731" spans="1:13" x14ac:dyDescent="0.25">
      <c r="A1731" t="s">
        <v>3134</v>
      </c>
      <c r="B1731">
        <v>481685</v>
      </c>
      <c r="C1731">
        <v>5920666</v>
      </c>
      <c r="D1731">
        <v>21</v>
      </c>
      <c r="E1731" t="s">
        <v>15</v>
      </c>
      <c r="F1731" t="s">
        <v>4519</v>
      </c>
      <c r="G1731">
        <v>16</v>
      </c>
      <c r="H1731" t="s">
        <v>1333</v>
      </c>
      <c r="I1731" t="s">
        <v>304</v>
      </c>
      <c r="J1731" t="s">
        <v>1334</v>
      </c>
      <c r="K1731" t="s">
        <v>228</v>
      </c>
      <c r="L1731" t="s">
        <v>4520</v>
      </c>
      <c r="M1731" s="3" t="str">
        <f>HYPERLINK("..\..\Imagery\ScannedPhotos\2004\CG04-286.5.jpg")</f>
        <v>..\..\Imagery\ScannedPhotos\2004\CG04-286.5.jpg</v>
      </c>
    </row>
    <row r="1732" spans="1:13" x14ac:dyDescent="0.25">
      <c r="A1732" t="s">
        <v>3134</v>
      </c>
      <c r="B1732">
        <v>481685</v>
      </c>
      <c r="C1732">
        <v>5920666</v>
      </c>
      <c r="D1732">
        <v>21</v>
      </c>
      <c r="E1732" t="s">
        <v>15</v>
      </c>
      <c r="F1732" t="s">
        <v>4521</v>
      </c>
      <c r="G1732">
        <v>16</v>
      </c>
      <c r="H1732" t="s">
        <v>1333</v>
      </c>
      <c r="I1732" t="s">
        <v>195</v>
      </c>
      <c r="J1732" t="s">
        <v>1334</v>
      </c>
      <c r="K1732" t="s">
        <v>228</v>
      </c>
      <c r="L1732" t="s">
        <v>4522</v>
      </c>
      <c r="M1732" s="3" t="str">
        <f>HYPERLINK("..\..\Imagery\ScannedPhotos\2004\CG04-286.6.jpg")</f>
        <v>..\..\Imagery\ScannedPhotos\2004\CG04-286.6.jpg</v>
      </c>
    </row>
    <row r="1733" spans="1:13" x14ac:dyDescent="0.25">
      <c r="A1733" t="s">
        <v>3134</v>
      </c>
      <c r="B1733">
        <v>481685</v>
      </c>
      <c r="C1733">
        <v>5920666</v>
      </c>
      <c r="D1733">
        <v>21</v>
      </c>
      <c r="E1733" t="s">
        <v>15</v>
      </c>
      <c r="F1733" t="s">
        <v>4523</v>
      </c>
      <c r="G1733">
        <v>16</v>
      </c>
      <c r="H1733" t="s">
        <v>4524</v>
      </c>
      <c r="I1733" t="s">
        <v>418</v>
      </c>
      <c r="J1733" t="s">
        <v>3309</v>
      </c>
      <c r="K1733" t="s">
        <v>228</v>
      </c>
      <c r="L1733" t="s">
        <v>4520</v>
      </c>
      <c r="M1733" s="3" t="str">
        <f>HYPERLINK("..\..\Imagery\ScannedPhotos\2004\CG04-286.16.jpg")</f>
        <v>..\..\Imagery\ScannedPhotos\2004\CG04-286.16.jpg</v>
      </c>
    </row>
    <row r="1734" spans="1:13" x14ac:dyDescent="0.25">
      <c r="A1734" t="s">
        <v>3134</v>
      </c>
      <c r="B1734">
        <v>481685</v>
      </c>
      <c r="C1734">
        <v>5920666</v>
      </c>
      <c r="D1734">
        <v>21</v>
      </c>
      <c r="E1734" t="s">
        <v>15</v>
      </c>
      <c r="F1734" t="s">
        <v>4525</v>
      </c>
      <c r="G1734">
        <v>16</v>
      </c>
      <c r="H1734" t="s">
        <v>4524</v>
      </c>
      <c r="I1734" t="s">
        <v>222</v>
      </c>
      <c r="J1734" t="s">
        <v>3309</v>
      </c>
      <c r="K1734" t="s">
        <v>228</v>
      </c>
      <c r="L1734" t="s">
        <v>4526</v>
      </c>
      <c r="M1734" s="3" t="str">
        <f>HYPERLINK("..\..\Imagery\ScannedPhotos\2004\CG04-286.15.jpg")</f>
        <v>..\..\Imagery\ScannedPhotos\2004\CG04-286.15.jpg</v>
      </c>
    </row>
    <row r="1735" spans="1:13" x14ac:dyDescent="0.25">
      <c r="A1735" t="s">
        <v>3134</v>
      </c>
      <c r="B1735">
        <v>481685</v>
      </c>
      <c r="C1735">
        <v>5920666</v>
      </c>
      <c r="D1735">
        <v>21</v>
      </c>
      <c r="E1735" t="s">
        <v>15</v>
      </c>
      <c r="F1735" t="s">
        <v>4527</v>
      </c>
      <c r="G1735">
        <v>16</v>
      </c>
      <c r="H1735" t="s">
        <v>4524</v>
      </c>
      <c r="I1735" t="s">
        <v>214</v>
      </c>
      <c r="J1735" t="s">
        <v>3309</v>
      </c>
      <c r="K1735" t="s">
        <v>228</v>
      </c>
      <c r="L1735" t="s">
        <v>4526</v>
      </c>
      <c r="M1735" s="3" t="str">
        <f>HYPERLINK("..\..\Imagery\ScannedPhotos\2004\CG04-286.14.jpg")</f>
        <v>..\..\Imagery\ScannedPhotos\2004\CG04-286.14.jpg</v>
      </c>
    </row>
    <row r="1736" spans="1:13" x14ac:dyDescent="0.25">
      <c r="A1736" t="s">
        <v>3134</v>
      </c>
      <c r="B1736">
        <v>481685</v>
      </c>
      <c r="C1736">
        <v>5920666</v>
      </c>
      <c r="D1736">
        <v>21</v>
      </c>
      <c r="E1736" t="s">
        <v>15</v>
      </c>
      <c r="F1736" t="s">
        <v>4528</v>
      </c>
      <c r="G1736">
        <v>16</v>
      </c>
      <c r="H1736" t="s">
        <v>3982</v>
      </c>
      <c r="I1736" t="s">
        <v>30</v>
      </c>
      <c r="J1736" t="s">
        <v>2247</v>
      </c>
      <c r="K1736" t="s">
        <v>228</v>
      </c>
      <c r="L1736" t="s">
        <v>4529</v>
      </c>
      <c r="M1736" s="3" t="str">
        <f>HYPERLINK("..\..\Imagery\ScannedPhotos\2004\CG04-286.13.jpg")</f>
        <v>..\..\Imagery\ScannedPhotos\2004\CG04-286.13.jpg</v>
      </c>
    </row>
    <row r="1737" spans="1:13" x14ac:dyDescent="0.25">
      <c r="A1737" t="s">
        <v>3134</v>
      </c>
      <c r="B1737">
        <v>481685</v>
      </c>
      <c r="C1737">
        <v>5920666</v>
      </c>
      <c r="D1737">
        <v>21</v>
      </c>
      <c r="E1737" t="s">
        <v>15</v>
      </c>
      <c r="F1737" t="s">
        <v>4530</v>
      </c>
      <c r="G1737">
        <v>23</v>
      </c>
      <c r="H1737" t="s">
        <v>2284</v>
      </c>
      <c r="I1737" t="s">
        <v>294</v>
      </c>
      <c r="J1737" t="s">
        <v>3136</v>
      </c>
      <c r="K1737" t="s">
        <v>535</v>
      </c>
      <c r="L1737" t="s">
        <v>4531</v>
      </c>
      <c r="M1737" s="3" t="str">
        <f>HYPERLINK("..\..\Imagery\ScannedPhotos\2004\CG04-286.17.jpg")</f>
        <v>..\..\Imagery\ScannedPhotos\2004\CG04-286.17.jpg</v>
      </c>
    </row>
    <row r="1738" spans="1:13" x14ac:dyDescent="0.25">
      <c r="A1738" t="s">
        <v>3134</v>
      </c>
      <c r="B1738">
        <v>481685</v>
      </c>
      <c r="C1738">
        <v>5920666</v>
      </c>
      <c r="D1738">
        <v>21</v>
      </c>
      <c r="E1738" t="s">
        <v>15</v>
      </c>
      <c r="F1738" t="s">
        <v>4532</v>
      </c>
      <c r="G1738">
        <v>23</v>
      </c>
      <c r="H1738" t="s">
        <v>2284</v>
      </c>
      <c r="I1738" t="s">
        <v>217</v>
      </c>
      <c r="J1738" t="s">
        <v>3136</v>
      </c>
      <c r="K1738" t="s">
        <v>535</v>
      </c>
      <c r="L1738" t="s">
        <v>4533</v>
      </c>
      <c r="M1738" s="3" t="str">
        <f>HYPERLINK("..\..\Imagery\ScannedPhotos\2004\CG04-286.23.jpg")</f>
        <v>..\..\Imagery\ScannedPhotos\2004\CG04-286.23.jpg</v>
      </c>
    </row>
    <row r="1739" spans="1:13" x14ac:dyDescent="0.25">
      <c r="A1739" t="s">
        <v>3134</v>
      </c>
      <c r="B1739">
        <v>481685</v>
      </c>
      <c r="C1739">
        <v>5920666</v>
      </c>
      <c r="D1739">
        <v>21</v>
      </c>
      <c r="E1739" t="s">
        <v>15</v>
      </c>
      <c r="F1739" t="s">
        <v>4534</v>
      </c>
      <c r="G1739">
        <v>23</v>
      </c>
      <c r="H1739" t="s">
        <v>2284</v>
      </c>
      <c r="I1739" t="s">
        <v>79</v>
      </c>
      <c r="J1739" t="s">
        <v>3136</v>
      </c>
      <c r="K1739" t="s">
        <v>535</v>
      </c>
      <c r="L1739" t="s">
        <v>4535</v>
      </c>
      <c r="M1739" s="3" t="str">
        <f>HYPERLINK("..\..\Imagery\ScannedPhotos\2004\CG04-286.18.jpg")</f>
        <v>..\..\Imagery\ScannedPhotos\2004\CG04-286.18.jpg</v>
      </c>
    </row>
    <row r="1740" spans="1:13" x14ac:dyDescent="0.25">
      <c r="A1740" t="s">
        <v>3134</v>
      </c>
      <c r="B1740">
        <v>481685</v>
      </c>
      <c r="C1740">
        <v>5920666</v>
      </c>
      <c r="D1740">
        <v>21</v>
      </c>
      <c r="E1740" t="s">
        <v>15</v>
      </c>
      <c r="F1740" t="s">
        <v>4536</v>
      </c>
      <c r="G1740">
        <v>23</v>
      </c>
      <c r="H1740" t="s">
        <v>2284</v>
      </c>
      <c r="I1740" t="s">
        <v>209</v>
      </c>
      <c r="J1740" t="s">
        <v>3136</v>
      </c>
      <c r="K1740" t="s">
        <v>535</v>
      </c>
      <c r="L1740" t="s">
        <v>4537</v>
      </c>
      <c r="M1740" s="3" t="str">
        <f>HYPERLINK("..\..\Imagery\ScannedPhotos\2004\CG04-286.22.jpg")</f>
        <v>..\..\Imagery\ScannedPhotos\2004\CG04-286.22.jpg</v>
      </c>
    </row>
    <row r="1741" spans="1:13" x14ac:dyDescent="0.25">
      <c r="A1741" t="s">
        <v>4538</v>
      </c>
      <c r="B1741">
        <v>547219</v>
      </c>
      <c r="C1741">
        <v>5841232</v>
      </c>
      <c r="D1741">
        <v>21</v>
      </c>
      <c r="E1741" t="s">
        <v>15</v>
      </c>
      <c r="F1741" t="s">
        <v>4539</v>
      </c>
      <c r="G1741">
        <v>2</v>
      </c>
      <c r="K1741" t="s">
        <v>20</v>
      </c>
      <c r="L1741" t="s">
        <v>90</v>
      </c>
      <c r="M1741" s="3" t="str">
        <f>HYPERLINK("..\..\Imagery\ScannedPhotos\2004\CG04-028.1.jpg")</f>
        <v>..\..\Imagery\ScannedPhotos\2004\CG04-028.1.jpg</v>
      </c>
    </row>
    <row r="1742" spans="1:13" x14ac:dyDescent="0.25">
      <c r="A1742" t="s">
        <v>4540</v>
      </c>
      <c r="B1742">
        <v>545731</v>
      </c>
      <c r="C1742">
        <v>5840425</v>
      </c>
      <c r="D1742">
        <v>21</v>
      </c>
      <c r="E1742" t="s">
        <v>15</v>
      </c>
      <c r="F1742" t="s">
        <v>4541</v>
      </c>
      <c r="G1742">
        <v>2</v>
      </c>
      <c r="K1742" t="s">
        <v>56</v>
      </c>
      <c r="L1742" t="s">
        <v>4542</v>
      </c>
      <c r="M1742" s="3" t="str">
        <f>HYPERLINK("..\..\Imagery\ScannedPhotos\2004\CG04-031.1.jpg")</f>
        <v>..\..\Imagery\ScannedPhotos\2004\CG04-031.1.jpg</v>
      </c>
    </row>
    <row r="1743" spans="1:13" x14ac:dyDescent="0.25">
      <c r="A1743" t="s">
        <v>4540</v>
      </c>
      <c r="B1743">
        <v>545731</v>
      </c>
      <c r="C1743">
        <v>5840425</v>
      </c>
      <c r="D1743">
        <v>21</v>
      </c>
      <c r="E1743" t="s">
        <v>15</v>
      </c>
      <c r="F1743" t="s">
        <v>4543</v>
      </c>
      <c r="G1743">
        <v>2</v>
      </c>
      <c r="K1743" t="s">
        <v>20</v>
      </c>
      <c r="L1743" t="s">
        <v>4542</v>
      </c>
      <c r="M1743" s="3" t="str">
        <f>HYPERLINK("..\..\Imagery\ScannedPhotos\2004\CG04-031.2.jpg")</f>
        <v>..\..\Imagery\ScannedPhotos\2004\CG04-031.2.jpg</v>
      </c>
    </row>
    <row r="1744" spans="1:13" x14ac:dyDescent="0.25">
      <c r="A1744" t="s">
        <v>4544</v>
      </c>
      <c r="B1744">
        <v>452965</v>
      </c>
      <c r="C1744">
        <v>5913747</v>
      </c>
      <c r="D1744">
        <v>21</v>
      </c>
      <c r="E1744" t="s">
        <v>15</v>
      </c>
      <c r="F1744" t="s">
        <v>4545</v>
      </c>
      <c r="G1744">
        <v>2</v>
      </c>
      <c r="H1744" t="s">
        <v>1333</v>
      </c>
      <c r="I1744" t="s">
        <v>294</v>
      </c>
      <c r="J1744" t="s">
        <v>1334</v>
      </c>
      <c r="K1744" t="s">
        <v>20</v>
      </c>
      <c r="L1744" t="s">
        <v>4546</v>
      </c>
      <c r="M1744" s="3" t="str">
        <f>HYPERLINK("..\..\Imagery\ScannedPhotos\1984\CG84-111.1.jpg")</f>
        <v>..\..\Imagery\ScannedPhotos\1984\CG84-111.1.jpg</v>
      </c>
    </row>
    <row r="1745" spans="1:13" x14ac:dyDescent="0.25">
      <c r="A1745" t="s">
        <v>3248</v>
      </c>
      <c r="B1745">
        <v>529223</v>
      </c>
      <c r="C1745">
        <v>5731508</v>
      </c>
      <c r="D1745">
        <v>21</v>
      </c>
      <c r="E1745" t="s">
        <v>15</v>
      </c>
      <c r="F1745" t="s">
        <v>4547</v>
      </c>
      <c r="G1745">
        <v>3</v>
      </c>
      <c r="H1745" t="s">
        <v>1061</v>
      </c>
      <c r="I1745" t="s">
        <v>25</v>
      </c>
      <c r="J1745" t="s">
        <v>1062</v>
      </c>
      <c r="K1745" t="s">
        <v>20</v>
      </c>
      <c r="L1745" t="s">
        <v>290</v>
      </c>
      <c r="M1745" s="3" t="str">
        <f>HYPERLINK("..\..\Imagery\ScannedPhotos\1993\CG93-026.2.jpg")</f>
        <v>..\..\Imagery\ScannedPhotos\1993\CG93-026.2.jpg</v>
      </c>
    </row>
    <row r="1746" spans="1:13" x14ac:dyDescent="0.25">
      <c r="A1746" t="s">
        <v>4548</v>
      </c>
      <c r="B1746">
        <v>588505</v>
      </c>
      <c r="C1746">
        <v>5770652</v>
      </c>
      <c r="D1746">
        <v>21</v>
      </c>
      <c r="E1746" t="s">
        <v>15</v>
      </c>
      <c r="F1746" t="s">
        <v>4549</v>
      </c>
      <c r="G1746">
        <v>1</v>
      </c>
      <c r="H1746" t="s">
        <v>1688</v>
      </c>
      <c r="I1746" t="s">
        <v>294</v>
      </c>
      <c r="J1746" t="s">
        <v>1052</v>
      </c>
      <c r="K1746" t="s">
        <v>20</v>
      </c>
      <c r="L1746" t="s">
        <v>4550</v>
      </c>
      <c r="M1746" s="3" t="str">
        <f>HYPERLINK("..\..\Imagery\ScannedPhotos\1987\VN87-337.jpg")</f>
        <v>..\..\Imagery\ScannedPhotos\1987\VN87-337.jpg</v>
      </c>
    </row>
    <row r="1747" spans="1:13" x14ac:dyDescent="0.25">
      <c r="A1747" t="s">
        <v>3209</v>
      </c>
      <c r="B1747">
        <v>588590</v>
      </c>
      <c r="C1747">
        <v>5770797</v>
      </c>
      <c r="D1747">
        <v>21</v>
      </c>
      <c r="E1747" t="s">
        <v>15</v>
      </c>
      <c r="F1747" t="s">
        <v>4551</v>
      </c>
      <c r="G1747">
        <v>3</v>
      </c>
      <c r="H1747" t="s">
        <v>1688</v>
      </c>
      <c r="I1747" t="s">
        <v>137</v>
      </c>
      <c r="J1747" t="s">
        <v>1052</v>
      </c>
      <c r="K1747" t="s">
        <v>20</v>
      </c>
      <c r="L1747" t="s">
        <v>3211</v>
      </c>
      <c r="M1747" s="3" t="str">
        <f>HYPERLINK("..\..\Imagery\ScannedPhotos\1987\VN87-338.3.jpg")</f>
        <v>..\..\Imagery\ScannedPhotos\1987\VN87-338.3.jpg</v>
      </c>
    </row>
    <row r="1748" spans="1:13" x14ac:dyDescent="0.25">
      <c r="A1748" t="s">
        <v>3209</v>
      </c>
      <c r="B1748">
        <v>588590</v>
      </c>
      <c r="C1748">
        <v>5770797</v>
      </c>
      <c r="D1748">
        <v>21</v>
      </c>
      <c r="E1748" t="s">
        <v>15</v>
      </c>
      <c r="F1748" t="s">
        <v>4552</v>
      </c>
      <c r="G1748">
        <v>3</v>
      </c>
      <c r="H1748" t="s">
        <v>1688</v>
      </c>
      <c r="I1748" t="s">
        <v>79</v>
      </c>
      <c r="J1748" t="s">
        <v>1052</v>
      </c>
      <c r="K1748" t="s">
        <v>20</v>
      </c>
      <c r="L1748" t="s">
        <v>4553</v>
      </c>
      <c r="M1748" s="3" t="str">
        <f>HYPERLINK("..\..\Imagery\ScannedPhotos\1987\VN87-338.1.jpg")</f>
        <v>..\..\Imagery\ScannedPhotos\1987\VN87-338.1.jpg</v>
      </c>
    </row>
    <row r="1749" spans="1:13" x14ac:dyDescent="0.25">
      <c r="A1749" t="s">
        <v>4554</v>
      </c>
      <c r="B1749">
        <v>435648</v>
      </c>
      <c r="C1749">
        <v>5899908</v>
      </c>
      <c r="D1749">
        <v>21</v>
      </c>
      <c r="E1749" t="s">
        <v>15</v>
      </c>
      <c r="F1749" t="s">
        <v>4555</v>
      </c>
      <c r="G1749">
        <v>10</v>
      </c>
      <c r="H1749" t="s">
        <v>2895</v>
      </c>
      <c r="I1749" t="s">
        <v>147</v>
      </c>
      <c r="J1749" t="s">
        <v>2896</v>
      </c>
      <c r="K1749" t="s">
        <v>20</v>
      </c>
      <c r="L1749" t="s">
        <v>4556</v>
      </c>
      <c r="M1749" s="3" t="str">
        <f>HYPERLINK("..\..\Imagery\ScannedPhotos\1984\CG84-435.1.jpg")</f>
        <v>..\..\Imagery\ScannedPhotos\1984\CG84-435.1.jpg</v>
      </c>
    </row>
    <row r="1750" spans="1:13" x14ac:dyDescent="0.25">
      <c r="A1750" t="s">
        <v>4557</v>
      </c>
      <c r="B1750">
        <v>377974</v>
      </c>
      <c r="C1750">
        <v>5981853</v>
      </c>
      <c r="D1750">
        <v>21</v>
      </c>
      <c r="E1750" t="s">
        <v>15</v>
      </c>
      <c r="F1750" t="s">
        <v>4558</v>
      </c>
      <c r="G1750">
        <v>2</v>
      </c>
      <c r="H1750" t="s">
        <v>4559</v>
      </c>
      <c r="I1750" t="s">
        <v>129</v>
      </c>
      <c r="J1750" t="s">
        <v>4560</v>
      </c>
      <c r="K1750" t="s">
        <v>20</v>
      </c>
      <c r="L1750" t="s">
        <v>4561</v>
      </c>
      <c r="M1750" s="3" t="str">
        <f>HYPERLINK("..\..\Imagery\ScannedPhotos\1980\NN80-350.2.jpg")</f>
        <v>..\..\Imagery\ScannedPhotos\1980\NN80-350.2.jpg</v>
      </c>
    </row>
    <row r="1751" spans="1:13" x14ac:dyDescent="0.25">
      <c r="A1751" t="s">
        <v>4562</v>
      </c>
      <c r="B1751">
        <v>378245</v>
      </c>
      <c r="C1751">
        <v>5981826</v>
      </c>
      <c r="D1751">
        <v>21</v>
      </c>
      <c r="E1751" t="s">
        <v>15</v>
      </c>
      <c r="F1751" t="s">
        <v>4563</v>
      </c>
      <c r="G1751">
        <v>2</v>
      </c>
      <c r="H1751" t="s">
        <v>4559</v>
      </c>
      <c r="I1751" t="s">
        <v>143</v>
      </c>
      <c r="J1751" t="s">
        <v>4560</v>
      </c>
      <c r="K1751" t="s">
        <v>20</v>
      </c>
      <c r="L1751" t="s">
        <v>1020</v>
      </c>
      <c r="M1751" s="3" t="str">
        <f>HYPERLINK("..\..\Imagery\ScannedPhotos\1980\NN80-351.1.jpg")</f>
        <v>..\..\Imagery\ScannedPhotos\1980\NN80-351.1.jpg</v>
      </c>
    </row>
    <row r="1752" spans="1:13" x14ac:dyDescent="0.25">
      <c r="A1752" t="s">
        <v>441</v>
      </c>
      <c r="B1752">
        <v>483170</v>
      </c>
      <c r="C1752">
        <v>5948871</v>
      </c>
      <c r="D1752">
        <v>21</v>
      </c>
      <c r="E1752" t="s">
        <v>15</v>
      </c>
      <c r="F1752" t="s">
        <v>4564</v>
      </c>
      <c r="G1752">
        <v>6</v>
      </c>
      <c r="H1752" t="s">
        <v>443</v>
      </c>
      <c r="I1752" t="s">
        <v>222</v>
      </c>
      <c r="J1752" t="s">
        <v>48</v>
      </c>
      <c r="K1752" t="s">
        <v>20</v>
      </c>
      <c r="L1752" t="s">
        <v>444</v>
      </c>
      <c r="M1752" s="3" t="str">
        <f>HYPERLINK("..\..\Imagery\ScannedPhotos\1981\CG81-081.1.jpg")</f>
        <v>..\..\Imagery\ScannedPhotos\1981\CG81-081.1.jpg</v>
      </c>
    </row>
    <row r="1753" spans="1:13" x14ac:dyDescent="0.25">
      <c r="A1753" t="s">
        <v>441</v>
      </c>
      <c r="B1753">
        <v>483170</v>
      </c>
      <c r="C1753">
        <v>5948871</v>
      </c>
      <c r="D1753">
        <v>21</v>
      </c>
      <c r="E1753" t="s">
        <v>15</v>
      </c>
      <c r="F1753" t="s">
        <v>4565</v>
      </c>
      <c r="G1753">
        <v>6</v>
      </c>
      <c r="H1753" t="s">
        <v>443</v>
      </c>
      <c r="I1753" t="s">
        <v>304</v>
      </c>
      <c r="J1753" t="s">
        <v>48</v>
      </c>
      <c r="K1753" t="s">
        <v>20</v>
      </c>
      <c r="L1753" t="s">
        <v>444</v>
      </c>
      <c r="M1753" s="3" t="str">
        <f>HYPERLINK("..\..\Imagery\ScannedPhotos\1981\CG81-081.4.jpg")</f>
        <v>..\..\Imagery\ScannedPhotos\1981\CG81-081.4.jpg</v>
      </c>
    </row>
    <row r="1754" spans="1:13" x14ac:dyDescent="0.25">
      <c r="A1754" t="s">
        <v>441</v>
      </c>
      <c r="B1754">
        <v>483170</v>
      </c>
      <c r="C1754">
        <v>5948871</v>
      </c>
      <c r="D1754">
        <v>21</v>
      </c>
      <c r="E1754" t="s">
        <v>15</v>
      </c>
      <c r="F1754" t="s">
        <v>4566</v>
      </c>
      <c r="G1754">
        <v>6</v>
      </c>
      <c r="H1754" t="s">
        <v>443</v>
      </c>
      <c r="I1754" t="s">
        <v>195</v>
      </c>
      <c r="J1754" t="s">
        <v>48</v>
      </c>
      <c r="K1754" t="s">
        <v>20</v>
      </c>
      <c r="L1754" t="s">
        <v>444</v>
      </c>
      <c r="M1754" s="3" t="str">
        <f>HYPERLINK("..\..\Imagery\ScannedPhotos\1981\CG81-081.5.jpg")</f>
        <v>..\..\Imagery\ScannedPhotos\1981\CG81-081.5.jpg</v>
      </c>
    </row>
    <row r="1755" spans="1:13" x14ac:dyDescent="0.25">
      <c r="A1755" t="s">
        <v>4567</v>
      </c>
      <c r="B1755">
        <v>487002</v>
      </c>
      <c r="C1755">
        <v>5951256</v>
      </c>
      <c r="D1755">
        <v>21</v>
      </c>
      <c r="E1755" t="s">
        <v>15</v>
      </c>
      <c r="F1755" t="s">
        <v>4568</v>
      </c>
      <c r="G1755">
        <v>1</v>
      </c>
      <c r="H1755" t="s">
        <v>443</v>
      </c>
      <c r="I1755" t="s">
        <v>360</v>
      </c>
      <c r="J1755" t="s">
        <v>48</v>
      </c>
      <c r="K1755" t="s">
        <v>20</v>
      </c>
      <c r="L1755" t="s">
        <v>4569</v>
      </c>
      <c r="M1755" s="3" t="str">
        <f>HYPERLINK("..\..\Imagery\ScannedPhotos\1981\CG81-084.jpg")</f>
        <v>..\..\Imagery\ScannedPhotos\1981\CG81-084.jpg</v>
      </c>
    </row>
    <row r="1756" spans="1:13" x14ac:dyDescent="0.25">
      <c r="A1756" t="s">
        <v>4570</v>
      </c>
      <c r="B1756">
        <v>487729</v>
      </c>
      <c r="C1756">
        <v>5951605</v>
      </c>
      <c r="D1756">
        <v>21</v>
      </c>
      <c r="E1756" t="s">
        <v>15</v>
      </c>
      <c r="F1756" t="s">
        <v>4571</v>
      </c>
      <c r="G1756">
        <v>1</v>
      </c>
      <c r="H1756" t="s">
        <v>443</v>
      </c>
      <c r="I1756" t="s">
        <v>647</v>
      </c>
      <c r="J1756" t="s">
        <v>48</v>
      </c>
      <c r="K1756" t="s">
        <v>20</v>
      </c>
      <c r="L1756" t="s">
        <v>4572</v>
      </c>
      <c r="M1756" s="3" t="str">
        <f>HYPERLINK("..\..\Imagery\ScannedPhotos\1981\CG81-086.jpg")</f>
        <v>..\..\Imagery\ScannedPhotos\1981\CG81-086.jpg</v>
      </c>
    </row>
    <row r="1757" spans="1:13" x14ac:dyDescent="0.25">
      <c r="A1757" t="s">
        <v>4573</v>
      </c>
      <c r="B1757">
        <v>488199</v>
      </c>
      <c r="C1757">
        <v>5951940</v>
      </c>
      <c r="D1757">
        <v>21</v>
      </c>
      <c r="E1757" t="s">
        <v>15</v>
      </c>
      <c r="F1757" t="s">
        <v>4574</v>
      </c>
      <c r="G1757">
        <v>1</v>
      </c>
      <c r="H1757" t="s">
        <v>443</v>
      </c>
      <c r="I1757" t="s">
        <v>30</v>
      </c>
      <c r="J1757" t="s">
        <v>48</v>
      </c>
      <c r="K1757" t="s">
        <v>20</v>
      </c>
      <c r="L1757" t="s">
        <v>4575</v>
      </c>
      <c r="M1757" s="3" t="str">
        <f>HYPERLINK("..\..\Imagery\ScannedPhotos\1981\CG81-087.jpg")</f>
        <v>..\..\Imagery\ScannedPhotos\1981\CG81-087.jpg</v>
      </c>
    </row>
    <row r="1758" spans="1:13" x14ac:dyDescent="0.25">
      <c r="A1758" t="s">
        <v>4576</v>
      </c>
      <c r="B1758">
        <v>488969</v>
      </c>
      <c r="C1758">
        <v>5952346</v>
      </c>
      <c r="D1758">
        <v>21</v>
      </c>
      <c r="E1758" t="s">
        <v>15</v>
      </c>
      <c r="F1758" t="s">
        <v>4577</v>
      </c>
      <c r="G1758">
        <v>1</v>
      </c>
      <c r="H1758" t="s">
        <v>443</v>
      </c>
      <c r="I1758" t="s">
        <v>114</v>
      </c>
      <c r="J1758" t="s">
        <v>48</v>
      </c>
      <c r="K1758" t="s">
        <v>20</v>
      </c>
      <c r="L1758" t="s">
        <v>4578</v>
      </c>
      <c r="M1758" s="3" t="str">
        <f>HYPERLINK("..\..\Imagery\ScannedPhotos\1981\CG81-088.jpg")</f>
        <v>..\..\Imagery\ScannedPhotos\1981\CG81-088.jpg</v>
      </c>
    </row>
    <row r="1759" spans="1:13" x14ac:dyDescent="0.25">
      <c r="A1759" t="s">
        <v>4579</v>
      </c>
      <c r="B1759">
        <v>472970</v>
      </c>
      <c r="C1759">
        <v>5948370</v>
      </c>
      <c r="D1759">
        <v>21</v>
      </c>
      <c r="E1759" t="s">
        <v>15</v>
      </c>
      <c r="F1759" t="s">
        <v>4580</v>
      </c>
      <c r="G1759">
        <v>1</v>
      </c>
      <c r="H1759" t="s">
        <v>443</v>
      </c>
      <c r="I1759" t="s">
        <v>122</v>
      </c>
      <c r="J1759" t="s">
        <v>48</v>
      </c>
      <c r="K1759" t="s">
        <v>535</v>
      </c>
      <c r="L1759" t="s">
        <v>4581</v>
      </c>
      <c r="M1759" s="3" t="str">
        <f>HYPERLINK("..\..\Imagery\ScannedPhotos\1981\CG81-109.jpg")</f>
        <v>..\..\Imagery\ScannedPhotos\1981\CG81-109.jpg</v>
      </c>
    </row>
    <row r="1760" spans="1:13" x14ac:dyDescent="0.25">
      <c r="A1760" t="s">
        <v>4582</v>
      </c>
      <c r="B1760">
        <v>435203</v>
      </c>
      <c r="C1760">
        <v>5870212</v>
      </c>
      <c r="D1760">
        <v>21</v>
      </c>
      <c r="E1760" t="s">
        <v>15</v>
      </c>
      <c r="F1760" t="s">
        <v>4583</v>
      </c>
      <c r="G1760">
        <v>3</v>
      </c>
      <c r="H1760" t="s">
        <v>2521</v>
      </c>
      <c r="I1760" t="s">
        <v>30</v>
      </c>
      <c r="J1760" t="s">
        <v>2522</v>
      </c>
      <c r="K1760" t="s">
        <v>20</v>
      </c>
      <c r="L1760" t="s">
        <v>4584</v>
      </c>
      <c r="M1760" s="3" t="str">
        <f>HYPERLINK("..\..\Imagery\ScannedPhotos\1991\VN91-416.2.jpg")</f>
        <v>..\..\Imagery\ScannedPhotos\1991\VN91-416.2.jpg</v>
      </c>
    </row>
    <row r="1761" spans="1:13" x14ac:dyDescent="0.25">
      <c r="A1761" t="s">
        <v>3585</v>
      </c>
      <c r="B1761">
        <v>510025</v>
      </c>
      <c r="C1761">
        <v>5959101</v>
      </c>
      <c r="D1761">
        <v>21</v>
      </c>
      <c r="E1761" t="s">
        <v>15</v>
      </c>
      <c r="F1761" t="s">
        <v>4585</v>
      </c>
      <c r="G1761">
        <v>2</v>
      </c>
      <c r="H1761" t="s">
        <v>3587</v>
      </c>
      <c r="I1761" t="s">
        <v>137</v>
      </c>
      <c r="J1761" t="s">
        <v>3588</v>
      </c>
      <c r="K1761" t="s">
        <v>20</v>
      </c>
      <c r="L1761" t="s">
        <v>3589</v>
      </c>
      <c r="M1761" s="3" t="str">
        <f>HYPERLINK("..\..\Imagery\ScannedPhotos\1977\MC77-243.2.jpg")</f>
        <v>..\..\Imagery\ScannedPhotos\1977\MC77-243.2.jpg</v>
      </c>
    </row>
    <row r="1762" spans="1:13" x14ac:dyDescent="0.25">
      <c r="A1762" t="s">
        <v>4586</v>
      </c>
      <c r="B1762">
        <v>495011</v>
      </c>
      <c r="C1762">
        <v>5841701</v>
      </c>
      <c r="D1762">
        <v>21</v>
      </c>
      <c r="E1762" t="s">
        <v>15</v>
      </c>
      <c r="F1762" t="s">
        <v>4587</v>
      </c>
      <c r="G1762">
        <v>5</v>
      </c>
      <c r="H1762" t="s">
        <v>3569</v>
      </c>
      <c r="I1762" t="s">
        <v>304</v>
      </c>
      <c r="J1762" t="s">
        <v>850</v>
      </c>
      <c r="K1762" t="s">
        <v>56</v>
      </c>
      <c r="L1762" t="s">
        <v>4588</v>
      </c>
      <c r="M1762" s="3" t="str">
        <f>HYPERLINK("..\..\Imagery\ScannedPhotos\1991\VN91-068.3.jpg")</f>
        <v>..\..\Imagery\ScannedPhotos\1991\VN91-068.3.jpg</v>
      </c>
    </row>
    <row r="1763" spans="1:13" x14ac:dyDescent="0.25">
      <c r="A1763" t="s">
        <v>4589</v>
      </c>
      <c r="B1763">
        <v>514173</v>
      </c>
      <c r="C1763">
        <v>5827156</v>
      </c>
      <c r="D1763">
        <v>21</v>
      </c>
      <c r="E1763" t="s">
        <v>15</v>
      </c>
      <c r="F1763" t="s">
        <v>4590</v>
      </c>
      <c r="G1763">
        <v>2</v>
      </c>
      <c r="H1763" t="s">
        <v>4591</v>
      </c>
      <c r="I1763" t="s">
        <v>375</v>
      </c>
      <c r="J1763" t="s">
        <v>1233</v>
      </c>
      <c r="K1763" t="s">
        <v>20</v>
      </c>
      <c r="L1763" t="s">
        <v>4592</v>
      </c>
      <c r="M1763" s="3" t="str">
        <f>HYPERLINK("..\..\Imagery\ScannedPhotos\1986\SN86-269.2.jpg")</f>
        <v>..\..\Imagery\ScannedPhotos\1986\SN86-269.2.jpg</v>
      </c>
    </row>
    <row r="1764" spans="1:13" x14ac:dyDescent="0.25">
      <c r="A1764" t="s">
        <v>199</v>
      </c>
      <c r="B1764">
        <v>565290</v>
      </c>
      <c r="C1764">
        <v>5870947</v>
      </c>
      <c r="D1764">
        <v>21</v>
      </c>
      <c r="E1764" t="s">
        <v>15</v>
      </c>
      <c r="F1764" t="s">
        <v>4593</v>
      </c>
      <c r="G1764">
        <v>5</v>
      </c>
      <c r="H1764" t="s">
        <v>201</v>
      </c>
      <c r="I1764" t="s">
        <v>35</v>
      </c>
      <c r="J1764" t="s">
        <v>202</v>
      </c>
      <c r="K1764" t="s">
        <v>20</v>
      </c>
      <c r="L1764" t="s">
        <v>203</v>
      </c>
      <c r="M1764" s="3" t="str">
        <f>HYPERLINK("..\..\Imagery\ScannedPhotos\1986\CG86-114.1.jpg")</f>
        <v>..\..\Imagery\ScannedPhotos\1986\CG86-114.1.jpg</v>
      </c>
    </row>
    <row r="1765" spans="1:13" x14ac:dyDescent="0.25">
      <c r="A1765" t="s">
        <v>4594</v>
      </c>
      <c r="B1765">
        <v>381189</v>
      </c>
      <c r="C1765">
        <v>6102752</v>
      </c>
      <c r="D1765">
        <v>21</v>
      </c>
      <c r="E1765" t="s">
        <v>15</v>
      </c>
      <c r="F1765" t="s">
        <v>4595</v>
      </c>
      <c r="G1765">
        <v>3</v>
      </c>
      <c r="H1765" t="s">
        <v>208</v>
      </c>
      <c r="I1765" t="s">
        <v>30</v>
      </c>
      <c r="J1765" t="s">
        <v>210</v>
      </c>
      <c r="K1765" t="s">
        <v>20</v>
      </c>
      <c r="L1765" t="s">
        <v>4596</v>
      </c>
      <c r="M1765" s="3" t="str">
        <f>HYPERLINK("..\..\Imagery\ScannedPhotos\1979\AD79-096.3.jpg")</f>
        <v>..\..\Imagery\ScannedPhotos\1979\AD79-096.3.jpg</v>
      </c>
    </row>
    <row r="1766" spans="1:13" x14ac:dyDescent="0.25">
      <c r="A1766" t="s">
        <v>4594</v>
      </c>
      <c r="B1766">
        <v>381189</v>
      </c>
      <c r="C1766">
        <v>6102752</v>
      </c>
      <c r="D1766">
        <v>21</v>
      </c>
      <c r="E1766" t="s">
        <v>15</v>
      </c>
      <c r="F1766" t="s">
        <v>4597</v>
      </c>
      <c r="G1766">
        <v>3</v>
      </c>
      <c r="H1766" t="s">
        <v>208</v>
      </c>
      <c r="I1766" t="s">
        <v>360</v>
      </c>
      <c r="J1766" t="s">
        <v>210</v>
      </c>
      <c r="K1766" t="s">
        <v>20</v>
      </c>
      <c r="L1766" t="s">
        <v>4598</v>
      </c>
      <c r="M1766" s="3" t="str">
        <f>HYPERLINK("..\..\Imagery\ScannedPhotos\1979\AD79-096.1.jpg")</f>
        <v>..\..\Imagery\ScannedPhotos\1979\AD79-096.1.jpg</v>
      </c>
    </row>
    <row r="1767" spans="1:13" x14ac:dyDescent="0.25">
      <c r="A1767" t="s">
        <v>4594</v>
      </c>
      <c r="B1767">
        <v>381189</v>
      </c>
      <c r="C1767">
        <v>6102752</v>
      </c>
      <c r="D1767">
        <v>21</v>
      </c>
      <c r="E1767" t="s">
        <v>15</v>
      </c>
      <c r="F1767" t="s">
        <v>4599</v>
      </c>
      <c r="G1767">
        <v>3</v>
      </c>
      <c r="H1767" t="s">
        <v>208</v>
      </c>
      <c r="I1767" t="s">
        <v>647</v>
      </c>
      <c r="J1767" t="s">
        <v>210</v>
      </c>
      <c r="K1767" t="s">
        <v>20</v>
      </c>
      <c r="L1767" t="s">
        <v>4598</v>
      </c>
      <c r="M1767" s="3" t="str">
        <f>HYPERLINK("..\..\Imagery\ScannedPhotos\1979\AD79-096.2.jpg")</f>
        <v>..\..\Imagery\ScannedPhotos\1979\AD79-096.2.jpg</v>
      </c>
    </row>
    <row r="1768" spans="1:13" x14ac:dyDescent="0.25">
      <c r="A1768" t="s">
        <v>4600</v>
      </c>
      <c r="B1768">
        <v>379729</v>
      </c>
      <c r="C1768">
        <v>6099001</v>
      </c>
      <c r="D1768">
        <v>21</v>
      </c>
      <c r="E1768" t="s">
        <v>15</v>
      </c>
      <c r="F1768" t="s">
        <v>4601</v>
      </c>
      <c r="G1768">
        <v>1</v>
      </c>
      <c r="H1768" t="s">
        <v>208</v>
      </c>
      <c r="I1768" t="s">
        <v>119</v>
      </c>
      <c r="J1768" t="s">
        <v>210</v>
      </c>
      <c r="K1768" t="s">
        <v>20</v>
      </c>
      <c r="L1768" t="s">
        <v>4602</v>
      </c>
      <c r="M1768" s="3" t="str">
        <f>HYPERLINK("..\..\Imagery\ScannedPhotos\1979\AD79-103.jpg")</f>
        <v>..\..\Imagery\ScannedPhotos\1979\AD79-103.jpg</v>
      </c>
    </row>
    <row r="1769" spans="1:13" x14ac:dyDescent="0.25">
      <c r="A1769" t="s">
        <v>4603</v>
      </c>
      <c r="B1769">
        <v>579472</v>
      </c>
      <c r="C1769">
        <v>5850838</v>
      </c>
      <c r="D1769">
        <v>21</v>
      </c>
      <c r="E1769" t="s">
        <v>15</v>
      </c>
      <c r="F1769" t="s">
        <v>4604</v>
      </c>
      <c r="G1769">
        <v>2</v>
      </c>
      <c r="H1769" t="s">
        <v>2945</v>
      </c>
      <c r="I1769" t="s">
        <v>126</v>
      </c>
      <c r="J1769" t="s">
        <v>300</v>
      </c>
      <c r="K1769" t="s">
        <v>20</v>
      </c>
      <c r="L1769" t="s">
        <v>4605</v>
      </c>
      <c r="M1769" s="3" t="str">
        <f>HYPERLINK("..\..\Imagery\ScannedPhotos\1986\CG86-529.1.jpg")</f>
        <v>..\..\Imagery\ScannedPhotos\1986\CG86-529.1.jpg</v>
      </c>
    </row>
    <row r="1770" spans="1:13" x14ac:dyDescent="0.25">
      <c r="A1770" t="s">
        <v>4606</v>
      </c>
      <c r="B1770">
        <v>575969</v>
      </c>
      <c r="C1770">
        <v>5851177</v>
      </c>
      <c r="D1770">
        <v>21</v>
      </c>
      <c r="E1770" t="s">
        <v>15</v>
      </c>
      <c r="F1770" t="s">
        <v>4607</v>
      </c>
      <c r="G1770">
        <v>2</v>
      </c>
      <c r="H1770" t="s">
        <v>2945</v>
      </c>
      <c r="I1770" t="s">
        <v>132</v>
      </c>
      <c r="J1770" t="s">
        <v>300</v>
      </c>
      <c r="K1770" t="s">
        <v>20</v>
      </c>
      <c r="L1770" t="s">
        <v>4608</v>
      </c>
      <c r="M1770" s="3" t="str">
        <f>HYPERLINK("..\..\Imagery\ScannedPhotos\1986\CG86-544.1.jpg")</f>
        <v>..\..\Imagery\ScannedPhotos\1986\CG86-544.1.jpg</v>
      </c>
    </row>
    <row r="1771" spans="1:13" x14ac:dyDescent="0.25">
      <c r="A1771" t="s">
        <v>4609</v>
      </c>
      <c r="B1771">
        <v>584913</v>
      </c>
      <c r="C1771">
        <v>5900977</v>
      </c>
      <c r="D1771">
        <v>21</v>
      </c>
      <c r="E1771" t="s">
        <v>15</v>
      </c>
      <c r="F1771" t="s">
        <v>4610</v>
      </c>
      <c r="G1771">
        <v>4</v>
      </c>
      <c r="H1771" t="s">
        <v>1582</v>
      </c>
      <c r="I1771" t="s">
        <v>147</v>
      </c>
      <c r="J1771" t="s">
        <v>1583</v>
      </c>
      <c r="K1771" t="s">
        <v>20</v>
      </c>
      <c r="L1771" t="s">
        <v>4611</v>
      </c>
      <c r="M1771" s="3" t="str">
        <f>HYPERLINK("..\..\Imagery\ScannedPhotos\1985\GM85-682.1.jpg")</f>
        <v>..\..\Imagery\ScannedPhotos\1985\GM85-682.1.jpg</v>
      </c>
    </row>
    <row r="1772" spans="1:13" x14ac:dyDescent="0.25">
      <c r="A1772" t="s">
        <v>4609</v>
      </c>
      <c r="B1772">
        <v>584913</v>
      </c>
      <c r="C1772">
        <v>5900977</v>
      </c>
      <c r="D1772">
        <v>21</v>
      </c>
      <c r="E1772" t="s">
        <v>15</v>
      </c>
      <c r="F1772" t="s">
        <v>4612</v>
      </c>
      <c r="G1772">
        <v>4</v>
      </c>
      <c r="H1772" t="s">
        <v>1582</v>
      </c>
      <c r="I1772" t="s">
        <v>47</v>
      </c>
      <c r="J1772" t="s">
        <v>1583</v>
      </c>
      <c r="K1772" t="s">
        <v>20</v>
      </c>
      <c r="L1772" t="s">
        <v>4613</v>
      </c>
      <c r="M1772" s="3" t="str">
        <f>HYPERLINK("..\..\Imagery\ScannedPhotos\1985\GM85-682.2.jpg")</f>
        <v>..\..\Imagery\ScannedPhotos\1985\GM85-682.2.jpg</v>
      </c>
    </row>
    <row r="1773" spans="1:13" x14ac:dyDescent="0.25">
      <c r="A1773" t="s">
        <v>3298</v>
      </c>
      <c r="B1773">
        <v>567477</v>
      </c>
      <c r="C1773">
        <v>5916419</v>
      </c>
      <c r="D1773">
        <v>21</v>
      </c>
      <c r="E1773" t="s">
        <v>15</v>
      </c>
      <c r="F1773" t="s">
        <v>4614</v>
      </c>
      <c r="G1773">
        <v>2</v>
      </c>
      <c r="H1773" t="s">
        <v>2687</v>
      </c>
      <c r="I1773" t="s">
        <v>94</v>
      </c>
      <c r="J1773" t="s">
        <v>1463</v>
      </c>
      <c r="K1773" t="s">
        <v>20</v>
      </c>
      <c r="L1773" t="s">
        <v>3300</v>
      </c>
      <c r="M1773" s="3" t="str">
        <f>HYPERLINK("..\..\Imagery\ScannedPhotos\1985\VN85-604.2.jpg")</f>
        <v>..\..\Imagery\ScannedPhotos\1985\VN85-604.2.jpg</v>
      </c>
    </row>
    <row r="1774" spans="1:13" x14ac:dyDescent="0.25">
      <c r="A1774" t="s">
        <v>2443</v>
      </c>
      <c r="B1774">
        <v>445413</v>
      </c>
      <c r="C1774">
        <v>5922227</v>
      </c>
      <c r="D1774">
        <v>21</v>
      </c>
      <c r="E1774" t="s">
        <v>15</v>
      </c>
      <c r="F1774" t="s">
        <v>4615</v>
      </c>
      <c r="G1774">
        <v>4</v>
      </c>
      <c r="H1774" t="s">
        <v>2445</v>
      </c>
      <c r="I1774" t="s">
        <v>74</v>
      </c>
      <c r="J1774" t="s">
        <v>2446</v>
      </c>
      <c r="K1774" t="s">
        <v>56</v>
      </c>
      <c r="L1774" t="s">
        <v>4616</v>
      </c>
      <c r="M1774" s="3" t="str">
        <f>HYPERLINK("..\..\Imagery\ScannedPhotos\1984\NN84-032.3.jpg")</f>
        <v>..\..\Imagery\ScannedPhotos\1984\NN84-032.3.jpg</v>
      </c>
    </row>
    <row r="1775" spans="1:13" x14ac:dyDescent="0.25">
      <c r="A1775" t="s">
        <v>4617</v>
      </c>
      <c r="B1775">
        <v>562544</v>
      </c>
      <c r="C1775">
        <v>5930152</v>
      </c>
      <c r="D1775">
        <v>21</v>
      </c>
      <c r="E1775" t="s">
        <v>15</v>
      </c>
      <c r="F1775" t="s">
        <v>4618</v>
      </c>
      <c r="G1775">
        <v>3</v>
      </c>
      <c r="H1775" t="s">
        <v>1659</v>
      </c>
      <c r="I1775" t="s">
        <v>217</v>
      </c>
      <c r="J1775" t="s">
        <v>48</v>
      </c>
      <c r="K1775" t="s">
        <v>20</v>
      </c>
      <c r="L1775" t="s">
        <v>4619</v>
      </c>
      <c r="M1775" s="3" t="str">
        <f>HYPERLINK("..\..\Imagery\ScannedPhotos\1981\GF81-394.3.jpg")</f>
        <v>..\..\Imagery\ScannedPhotos\1981\GF81-394.3.jpg</v>
      </c>
    </row>
    <row r="1776" spans="1:13" x14ac:dyDescent="0.25">
      <c r="A1776" t="s">
        <v>4617</v>
      </c>
      <c r="B1776">
        <v>562544</v>
      </c>
      <c r="C1776">
        <v>5930152</v>
      </c>
      <c r="D1776">
        <v>21</v>
      </c>
      <c r="E1776" t="s">
        <v>15</v>
      </c>
      <c r="F1776" t="s">
        <v>4620</v>
      </c>
      <c r="G1776">
        <v>3</v>
      </c>
      <c r="H1776" t="s">
        <v>1659</v>
      </c>
      <c r="I1776" t="s">
        <v>386</v>
      </c>
      <c r="J1776" t="s">
        <v>48</v>
      </c>
      <c r="K1776" t="s">
        <v>20</v>
      </c>
      <c r="L1776" t="s">
        <v>4619</v>
      </c>
      <c r="M1776" s="3" t="str">
        <f>HYPERLINK("..\..\Imagery\ScannedPhotos\1981\GF81-394.2.jpg")</f>
        <v>..\..\Imagery\ScannedPhotos\1981\GF81-394.2.jpg</v>
      </c>
    </row>
    <row r="1777" spans="1:13" x14ac:dyDescent="0.25">
      <c r="A1777" t="s">
        <v>4617</v>
      </c>
      <c r="B1777">
        <v>562544</v>
      </c>
      <c r="C1777">
        <v>5930152</v>
      </c>
      <c r="D1777">
        <v>21</v>
      </c>
      <c r="E1777" t="s">
        <v>15</v>
      </c>
      <c r="F1777" t="s">
        <v>4621</v>
      </c>
      <c r="G1777">
        <v>3</v>
      </c>
      <c r="H1777" t="s">
        <v>1659</v>
      </c>
      <c r="I1777" t="s">
        <v>209</v>
      </c>
      <c r="J1777" t="s">
        <v>48</v>
      </c>
      <c r="K1777" t="s">
        <v>20</v>
      </c>
      <c r="L1777" t="s">
        <v>4619</v>
      </c>
      <c r="M1777" s="3" t="str">
        <f>HYPERLINK("..\..\Imagery\ScannedPhotos\1981\GF81-394.1.jpg")</f>
        <v>..\..\Imagery\ScannedPhotos\1981\GF81-394.1.jpg</v>
      </c>
    </row>
    <row r="1778" spans="1:13" x14ac:dyDescent="0.25">
      <c r="A1778" t="s">
        <v>4622</v>
      </c>
      <c r="B1778">
        <v>596404</v>
      </c>
      <c r="C1778">
        <v>5792898</v>
      </c>
      <c r="D1778">
        <v>21</v>
      </c>
      <c r="E1778" t="s">
        <v>15</v>
      </c>
      <c r="F1778" t="s">
        <v>4623</v>
      </c>
      <c r="G1778">
        <v>1</v>
      </c>
      <c r="K1778" t="s">
        <v>20</v>
      </c>
      <c r="L1778" t="s">
        <v>4624</v>
      </c>
      <c r="M1778" s="3" t="str">
        <f>HYPERLINK("..\..\Imagery\ScannedPhotos\2007\CG07-151.jpg")</f>
        <v>..\..\Imagery\ScannedPhotos\2007\CG07-151.jpg</v>
      </c>
    </row>
    <row r="1779" spans="1:13" x14ac:dyDescent="0.25">
      <c r="A1779" t="s">
        <v>4625</v>
      </c>
      <c r="B1779">
        <v>596404</v>
      </c>
      <c r="C1779">
        <v>5792932</v>
      </c>
      <c r="D1779">
        <v>21</v>
      </c>
      <c r="E1779" t="s">
        <v>15</v>
      </c>
      <c r="F1779" t="s">
        <v>4626</v>
      </c>
      <c r="G1779">
        <v>1</v>
      </c>
      <c r="K1779" t="s">
        <v>56</v>
      </c>
      <c r="L1779" t="s">
        <v>4627</v>
      </c>
      <c r="M1779" s="3" t="str">
        <f>HYPERLINK("..\..\Imagery\ScannedPhotos\2007\CG07-152.jpg")</f>
        <v>..\..\Imagery\ScannedPhotos\2007\CG07-152.jpg</v>
      </c>
    </row>
    <row r="1780" spans="1:13" x14ac:dyDescent="0.25">
      <c r="A1780" t="s">
        <v>4628</v>
      </c>
      <c r="B1780">
        <v>596418</v>
      </c>
      <c r="C1780">
        <v>5792951</v>
      </c>
      <c r="D1780">
        <v>21</v>
      </c>
      <c r="E1780" t="s">
        <v>15</v>
      </c>
      <c r="F1780" t="s">
        <v>4629</v>
      </c>
      <c r="G1780">
        <v>2</v>
      </c>
      <c r="K1780" t="s">
        <v>56</v>
      </c>
      <c r="L1780" t="s">
        <v>4630</v>
      </c>
      <c r="M1780" s="3" t="str">
        <f>HYPERLINK("..\..\Imagery\ScannedPhotos\2007\CG07-153.1.jpg")</f>
        <v>..\..\Imagery\ScannedPhotos\2007\CG07-153.1.jpg</v>
      </c>
    </row>
    <row r="1781" spans="1:13" x14ac:dyDescent="0.25">
      <c r="A1781" t="s">
        <v>4628</v>
      </c>
      <c r="B1781">
        <v>596418</v>
      </c>
      <c r="C1781">
        <v>5792951</v>
      </c>
      <c r="D1781">
        <v>21</v>
      </c>
      <c r="E1781" t="s">
        <v>15</v>
      </c>
      <c r="F1781" t="s">
        <v>4631</v>
      </c>
      <c r="G1781">
        <v>2</v>
      </c>
      <c r="K1781" t="s">
        <v>20</v>
      </c>
      <c r="L1781" t="s">
        <v>4630</v>
      </c>
      <c r="M1781" s="3" t="str">
        <f>HYPERLINK("..\..\Imagery\ScannedPhotos\2007\CG07-153.2.jpg")</f>
        <v>..\..\Imagery\ScannedPhotos\2007\CG07-153.2.jpg</v>
      </c>
    </row>
    <row r="1782" spans="1:13" x14ac:dyDescent="0.25">
      <c r="A1782" t="s">
        <v>4632</v>
      </c>
      <c r="B1782">
        <v>596433</v>
      </c>
      <c r="C1782">
        <v>5792953</v>
      </c>
      <c r="D1782">
        <v>21</v>
      </c>
      <c r="E1782" t="s">
        <v>15</v>
      </c>
      <c r="F1782" t="s">
        <v>4633</v>
      </c>
      <c r="G1782">
        <v>1</v>
      </c>
      <c r="K1782" t="s">
        <v>56</v>
      </c>
      <c r="L1782" t="s">
        <v>4634</v>
      </c>
      <c r="M1782" s="3" t="str">
        <f>HYPERLINK("..\..\Imagery\ScannedPhotos\2007\CG07-154.jpg")</f>
        <v>..\..\Imagery\ScannedPhotos\2007\CG07-154.jpg</v>
      </c>
    </row>
    <row r="1783" spans="1:13" x14ac:dyDescent="0.25">
      <c r="A1783" t="s">
        <v>4635</v>
      </c>
      <c r="B1783">
        <v>494700</v>
      </c>
      <c r="C1783">
        <v>5841050</v>
      </c>
      <c r="D1783">
        <v>21</v>
      </c>
      <c r="E1783" t="s">
        <v>15</v>
      </c>
      <c r="F1783" t="s">
        <v>4636</v>
      </c>
      <c r="G1783">
        <v>2</v>
      </c>
      <c r="H1783" t="s">
        <v>3569</v>
      </c>
      <c r="I1783" t="s">
        <v>647</v>
      </c>
      <c r="J1783" t="s">
        <v>850</v>
      </c>
      <c r="K1783" t="s">
        <v>20</v>
      </c>
      <c r="L1783" t="s">
        <v>4637</v>
      </c>
      <c r="M1783" s="3" t="str">
        <f>HYPERLINK("..\..\Imagery\ScannedPhotos\1991\VN91-070.2.jpg")</f>
        <v>..\..\Imagery\ScannedPhotos\1991\VN91-070.2.jpg</v>
      </c>
    </row>
    <row r="1784" spans="1:13" x14ac:dyDescent="0.25">
      <c r="A1784" t="s">
        <v>4635</v>
      </c>
      <c r="B1784">
        <v>494700</v>
      </c>
      <c r="C1784">
        <v>5841050</v>
      </c>
      <c r="D1784">
        <v>21</v>
      </c>
      <c r="E1784" t="s">
        <v>15</v>
      </c>
      <c r="F1784" t="s">
        <v>4638</v>
      </c>
      <c r="G1784">
        <v>2</v>
      </c>
      <c r="H1784" t="s">
        <v>3569</v>
      </c>
      <c r="I1784" t="s">
        <v>360</v>
      </c>
      <c r="J1784" t="s">
        <v>850</v>
      </c>
      <c r="K1784" t="s">
        <v>20</v>
      </c>
      <c r="L1784" t="s">
        <v>4639</v>
      </c>
      <c r="M1784" s="3" t="str">
        <f>HYPERLINK("..\..\Imagery\ScannedPhotos\1991\VN91-070.1.jpg")</f>
        <v>..\..\Imagery\ScannedPhotos\1991\VN91-070.1.jpg</v>
      </c>
    </row>
    <row r="1785" spans="1:13" x14ac:dyDescent="0.25">
      <c r="A1785" t="s">
        <v>4640</v>
      </c>
      <c r="B1785">
        <v>493228</v>
      </c>
      <c r="C1785">
        <v>5836076</v>
      </c>
      <c r="D1785">
        <v>21</v>
      </c>
      <c r="E1785" t="s">
        <v>15</v>
      </c>
      <c r="F1785" t="s">
        <v>4641</v>
      </c>
      <c r="G1785">
        <v>1</v>
      </c>
      <c r="H1785" t="s">
        <v>3569</v>
      </c>
      <c r="I1785" t="s">
        <v>30</v>
      </c>
      <c r="J1785" t="s">
        <v>850</v>
      </c>
      <c r="K1785" t="s">
        <v>20</v>
      </c>
      <c r="L1785" t="s">
        <v>322</v>
      </c>
      <c r="M1785" s="3" t="str">
        <f>HYPERLINK("..\..\Imagery\ScannedPhotos\1991\VN91-076.jpg")</f>
        <v>..\..\Imagery\ScannedPhotos\1991\VN91-076.jpg</v>
      </c>
    </row>
    <row r="1786" spans="1:13" x14ac:dyDescent="0.25">
      <c r="A1786" t="s">
        <v>4642</v>
      </c>
      <c r="B1786">
        <v>493075</v>
      </c>
      <c r="C1786">
        <v>5834700</v>
      </c>
      <c r="D1786">
        <v>21</v>
      </c>
      <c r="E1786" t="s">
        <v>15</v>
      </c>
      <c r="F1786" t="s">
        <v>4643</v>
      </c>
      <c r="G1786">
        <v>1</v>
      </c>
      <c r="H1786" t="s">
        <v>3569</v>
      </c>
      <c r="I1786" t="s">
        <v>114</v>
      </c>
      <c r="J1786" t="s">
        <v>850</v>
      </c>
      <c r="K1786" t="s">
        <v>20</v>
      </c>
      <c r="L1786" t="s">
        <v>4644</v>
      </c>
      <c r="M1786" s="3" t="str">
        <f>HYPERLINK("..\..\Imagery\ScannedPhotos\1991\VN91-077.jpg")</f>
        <v>..\..\Imagery\ScannedPhotos\1991\VN91-077.jpg</v>
      </c>
    </row>
    <row r="1787" spans="1:13" x14ac:dyDescent="0.25">
      <c r="A1787" t="s">
        <v>3567</v>
      </c>
      <c r="B1787">
        <v>493089</v>
      </c>
      <c r="C1787">
        <v>5834135</v>
      </c>
      <c r="D1787">
        <v>21</v>
      </c>
      <c r="E1787" t="s">
        <v>15</v>
      </c>
      <c r="F1787" t="s">
        <v>4645</v>
      </c>
      <c r="G1787">
        <v>5</v>
      </c>
      <c r="H1787" t="s">
        <v>3569</v>
      </c>
      <c r="I1787" t="s">
        <v>132</v>
      </c>
      <c r="J1787" t="s">
        <v>850</v>
      </c>
      <c r="K1787" t="s">
        <v>56</v>
      </c>
      <c r="L1787" t="s">
        <v>4646</v>
      </c>
      <c r="M1787" s="3" t="str">
        <f>HYPERLINK("..\..\Imagery\ScannedPhotos\1991\VN91-078.5.jpg")</f>
        <v>..\..\Imagery\ScannedPhotos\1991\VN91-078.5.jpg</v>
      </c>
    </row>
    <row r="1788" spans="1:13" x14ac:dyDescent="0.25">
      <c r="A1788" t="s">
        <v>945</v>
      </c>
      <c r="B1788">
        <v>563516</v>
      </c>
      <c r="C1788">
        <v>5826157</v>
      </c>
      <c r="D1788">
        <v>21</v>
      </c>
      <c r="E1788" t="s">
        <v>15</v>
      </c>
      <c r="F1788" t="s">
        <v>4647</v>
      </c>
      <c r="G1788">
        <v>6</v>
      </c>
      <c r="H1788" t="s">
        <v>201</v>
      </c>
      <c r="I1788" t="s">
        <v>195</v>
      </c>
      <c r="J1788" t="s">
        <v>202</v>
      </c>
      <c r="K1788" t="s">
        <v>20</v>
      </c>
      <c r="L1788" t="s">
        <v>4648</v>
      </c>
      <c r="M1788" s="3" t="str">
        <f>HYPERLINK("..\..\Imagery\ScannedPhotos\1986\CG86-156.1.jpg")</f>
        <v>..\..\Imagery\ScannedPhotos\1986\CG86-156.1.jpg</v>
      </c>
    </row>
    <row r="1789" spans="1:13" x14ac:dyDescent="0.25">
      <c r="A1789" t="s">
        <v>4649</v>
      </c>
      <c r="B1789">
        <v>473462</v>
      </c>
      <c r="C1789">
        <v>5929106</v>
      </c>
      <c r="D1789">
        <v>21</v>
      </c>
      <c r="E1789" t="s">
        <v>15</v>
      </c>
      <c r="F1789" t="s">
        <v>4650</v>
      </c>
      <c r="G1789">
        <v>2</v>
      </c>
      <c r="H1789" t="s">
        <v>107</v>
      </c>
      <c r="I1789" t="s">
        <v>119</v>
      </c>
      <c r="J1789" t="s">
        <v>48</v>
      </c>
      <c r="K1789" t="s">
        <v>20</v>
      </c>
      <c r="L1789" t="s">
        <v>4651</v>
      </c>
      <c r="M1789" s="3" t="str">
        <f>HYPERLINK("..\..\Imagery\ScannedPhotos\1981\CG81-187.2.jpg")</f>
        <v>..\..\Imagery\ScannedPhotos\1981\CG81-187.2.jpg</v>
      </c>
    </row>
    <row r="1790" spans="1:13" x14ac:dyDescent="0.25">
      <c r="A1790" t="s">
        <v>4652</v>
      </c>
      <c r="B1790">
        <v>538490</v>
      </c>
      <c r="C1790">
        <v>5835095</v>
      </c>
      <c r="D1790">
        <v>21</v>
      </c>
      <c r="E1790" t="s">
        <v>15</v>
      </c>
      <c r="F1790" t="s">
        <v>4653</v>
      </c>
      <c r="G1790">
        <v>1</v>
      </c>
      <c r="K1790" t="s">
        <v>535</v>
      </c>
      <c r="L1790" t="s">
        <v>4654</v>
      </c>
      <c r="M1790" s="3" t="str">
        <f>HYPERLINK("..\..\Imagery\ScannedPhotos\2004\CG04-066.jpg")</f>
        <v>..\..\Imagery\ScannedPhotos\2004\CG04-066.jpg</v>
      </c>
    </row>
    <row r="1791" spans="1:13" x14ac:dyDescent="0.25">
      <c r="A1791" t="s">
        <v>4655</v>
      </c>
      <c r="B1791">
        <v>559280</v>
      </c>
      <c r="C1791">
        <v>5843228</v>
      </c>
      <c r="D1791">
        <v>21</v>
      </c>
      <c r="E1791" t="s">
        <v>15</v>
      </c>
      <c r="F1791" t="s">
        <v>4656</v>
      </c>
      <c r="G1791">
        <v>1</v>
      </c>
      <c r="K1791" t="s">
        <v>56</v>
      </c>
      <c r="L1791" t="s">
        <v>4657</v>
      </c>
      <c r="M1791" s="3" t="str">
        <f>HYPERLINK("..\..\Imagery\ScannedPhotos\2004\CG04-081.jpg")</f>
        <v>..\..\Imagery\ScannedPhotos\2004\CG04-081.jpg</v>
      </c>
    </row>
    <row r="1792" spans="1:13" x14ac:dyDescent="0.25">
      <c r="A1792" t="s">
        <v>4658</v>
      </c>
      <c r="B1792">
        <v>558936</v>
      </c>
      <c r="C1792">
        <v>5840854</v>
      </c>
      <c r="D1792">
        <v>21</v>
      </c>
      <c r="E1792" t="s">
        <v>15</v>
      </c>
      <c r="F1792" t="s">
        <v>4659</v>
      </c>
      <c r="G1792">
        <v>1</v>
      </c>
      <c r="K1792" t="s">
        <v>20</v>
      </c>
      <c r="L1792" t="s">
        <v>4660</v>
      </c>
      <c r="M1792" s="3" t="str">
        <f>HYPERLINK("..\..\Imagery\ScannedPhotos\2004\CG04-085.jpg")</f>
        <v>..\..\Imagery\ScannedPhotos\2004\CG04-085.jpg</v>
      </c>
    </row>
    <row r="1793" spans="1:13" x14ac:dyDescent="0.25">
      <c r="A1793" t="s">
        <v>4661</v>
      </c>
      <c r="B1793">
        <v>561443</v>
      </c>
      <c r="C1793">
        <v>5839509</v>
      </c>
      <c r="D1793">
        <v>21</v>
      </c>
      <c r="E1793" t="s">
        <v>15</v>
      </c>
      <c r="F1793" t="s">
        <v>4662</v>
      </c>
      <c r="G1793">
        <v>2</v>
      </c>
      <c r="K1793" t="s">
        <v>20</v>
      </c>
      <c r="L1793" t="s">
        <v>4663</v>
      </c>
      <c r="M1793" s="3" t="str">
        <f>HYPERLINK("..\..\Imagery\ScannedPhotos\2004\CG04-090.1.jpg")</f>
        <v>..\..\Imagery\ScannedPhotos\2004\CG04-090.1.jpg</v>
      </c>
    </row>
    <row r="1794" spans="1:13" x14ac:dyDescent="0.25">
      <c r="A1794" t="s">
        <v>4664</v>
      </c>
      <c r="B1794">
        <v>446516</v>
      </c>
      <c r="C1794">
        <v>5910631</v>
      </c>
      <c r="D1794">
        <v>21</v>
      </c>
      <c r="E1794" t="s">
        <v>15</v>
      </c>
      <c r="F1794" t="s">
        <v>4665</v>
      </c>
      <c r="G1794">
        <v>4</v>
      </c>
      <c r="H1794" t="s">
        <v>155</v>
      </c>
      <c r="I1794" t="s">
        <v>222</v>
      </c>
      <c r="J1794" t="s">
        <v>156</v>
      </c>
      <c r="K1794" t="s">
        <v>20</v>
      </c>
      <c r="L1794" t="s">
        <v>4666</v>
      </c>
      <c r="M1794" s="3" t="str">
        <f>HYPERLINK("..\..\Imagery\ScannedPhotos\1984\NN84-105.3.jpg")</f>
        <v>..\..\Imagery\ScannedPhotos\1984\NN84-105.3.jpg</v>
      </c>
    </row>
    <row r="1795" spans="1:13" x14ac:dyDescent="0.25">
      <c r="A1795" t="s">
        <v>4664</v>
      </c>
      <c r="B1795">
        <v>446516</v>
      </c>
      <c r="C1795">
        <v>5910631</v>
      </c>
      <c r="D1795">
        <v>21</v>
      </c>
      <c r="E1795" t="s">
        <v>15</v>
      </c>
      <c r="F1795" t="s">
        <v>4667</v>
      </c>
      <c r="G1795">
        <v>4</v>
      </c>
      <c r="H1795" t="s">
        <v>155</v>
      </c>
      <c r="I1795" t="s">
        <v>418</v>
      </c>
      <c r="J1795" t="s">
        <v>156</v>
      </c>
      <c r="K1795" t="s">
        <v>20</v>
      </c>
      <c r="L1795" t="s">
        <v>4666</v>
      </c>
      <c r="M1795" s="3" t="str">
        <f>HYPERLINK("..\..\Imagery\ScannedPhotos\1984\NN84-105.4.jpg")</f>
        <v>..\..\Imagery\ScannedPhotos\1984\NN84-105.4.jpg</v>
      </c>
    </row>
    <row r="1796" spans="1:13" x14ac:dyDescent="0.25">
      <c r="A1796" t="s">
        <v>1074</v>
      </c>
      <c r="B1796">
        <v>517524</v>
      </c>
      <c r="C1796">
        <v>5712120</v>
      </c>
      <c r="D1796">
        <v>21</v>
      </c>
      <c r="E1796" t="s">
        <v>15</v>
      </c>
      <c r="F1796" t="s">
        <v>4668</v>
      </c>
      <c r="G1796">
        <v>9</v>
      </c>
      <c r="H1796" t="s">
        <v>1076</v>
      </c>
      <c r="I1796" t="s">
        <v>35</v>
      </c>
      <c r="J1796" t="s">
        <v>570</v>
      </c>
      <c r="K1796" t="s">
        <v>20</v>
      </c>
      <c r="L1796" t="s">
        <v>4669</v>
      </c>
      <c r="M1796" s="3" t="str">
        <f>HYPERLINK("..\..\Imagery\ScannedPhotos\1993\CG93-268.4.jpg")</f>
        <v>..\..\Imagery\ScannedPhotos\1993\CG93-268.4.jpg</v>
      </c>
    </row>
    <row r="1797" spans="1:13" x14ac:dyDescent="0.25">
      <c r="A1797" t="s">
        <v>4670</v>
      </c>
      <c r="B1797">
        <v>448088</v>
      </c>
      <c r="C1797">
        <v>5895108</v>
      </c>
      <c r="D1797">
        <v>21</v>
      </c>
      <c r="E1797" t="s">
        <v>15</v>
      </c>
      <c r="F1797" t="s">
        <v>4671</v>
      </c>
      <c r="G1797">
        <v>1</v>
      </c>
      <c r="H1797" t="s">
        <v>1964</v>
      </c>
      <c r="I1797" t="s">
        <v>294</v>
      </c>
      <c r="J1797" t="s">
        <v>1965</v>
      </c>
      <c r="K1797" t="s">
        <v>56</v>
      </c>
      <c r="L1797" t="s">
        <v>4672</v>
      </c>
      <c r="M1797" s="3" t="str">
        <f>HYPERLINK("..\..\Imagery\ScannedPhotos\1977\MC77-153.jpg")</f>
        <v>..\..\Imagery\ScannedPhotos\1977\MC77-153.jpg</v>
      </c>
    </row>
    <row r="1798" spans="1:13" x14ac:dyDescent="0.25">
      <c r="A1798" t="s">
        <v>4673</v>
      </c>
      <c r="B1798">
        <v>461635</v>
      </c>
      <c r="C1798">
        <v>5885640</v>
      </c>
      <c r="D1798">
        <v>21</v>
      </c>
      <c r="E1798" t="s">
        <v>15</v>
      </c>
      <c r="F1798" t="s">
        <v>4674</v>
      </c>
      <c r="G1798">
        <v>3</v>
      </c>
      <c r="H1798" t="s">
        <v>1964</v>
      </c>
      <c r="I1798" t="s">
        <v>18</v>
      </c>
      <c r="J1798" t="s">
        <v>1965</v>
      </c>
      <c r="K1798" t="s">
        <v>20</v>
      </c>
      <c r="L1798" t="s">
        <v>356</v>
      </c>
      <c r="M1798" s="3" t="str">
        <f>HYPERLINK("..\..\Imagery\ScannedPhotos\1977\MC77-196.1.jpg")</f>
        <v>..\..\Imagery\ScannedPhotos\1977\MC77-196.1.jpg</v>
      </c>
    </row>
    <row r="1799" spans="1:13" x14ac:dyDescent="0.25">
      <c r="A1799" t="s">
        <v>4673</v>
      </c>
      <c r="B1799">
        <v>461635</v>
      </c>
      <c r="C1799">
        <v>5885640</v>
      </c>
      <c r="D1799">
        <v>21</v>
      </c>
      <c r="E1799" t="s">
        <v>15</v>
      </c>
      <c r="F1799" t="s">
        <v>4675</v>
      </c>
      <c r="G1799">
        <v>3</v>
      </c>
      <c r="H1799" t="s">
        <v>1964</v>
      </c>
      <c r="I1799" t="s">
        <v>69</v>
      </c>
      <c r="J1799" t="s">
        <v>1965</v>
      </c>
      <c r="K1799" t="s">
        <v>20</v>
      </c>
      <c r="L1799" t="s">
        <v>858</v>
      </c>
      <c r="M1799" s="3" t="str">
        <f>HYPERLINK("..\..\Imagery\ScannedPhotos\1977\MC77-196.3.jpg")</f>
        <v>..\..\Imagery\ScannedPhotos\1977\MC77-196.3.jpg</v>
      </c>
    </row>
    <row r="1800" spans="1:13" x14ac:dyDescent="0.25">
      <c r="A1800" t="s">
        <v>4673</v>
      </c>
      <c r="B1800">
        <v>461635</v>
      </c>
      <c r="C1800">
        <v>5885640</v>
      </c>
      <c r="D1800">
        <v>21</v>
      </c>
      <c r="E1800" t="s">
        <v>15</v>
      </c>
      <c r="F1800" t="s">
        <v>4676</v>
      </c>
      <c r="G1800">
        <v>3</v>
      </c>
      <c r="H1800" t="s">
        <v>1964</v>
      </c>
      <c r="I1800" t="s">
        <v>35</v>
      </c>
      <c r="J1800" t="s">
        <v>1965</v>
      </c>
      <c r="K1800" t="s">
        <v>20</v>
      </c>
      <c r="L1800" t="s">
        <v>858</v>
      </c>
      <c r="M1800" s="3" t="str">
        <f>HYPERLINK("..\..\Imagery\ScannedPhotos\1977\MC77-196.2.jpg")</f>
        <v>..\..\Imagery\ScannedPhotos\1977\MC77-196.2.jpg</v>
      </c>
    </row>
    <row r="1801" spans="1:13" x14ac:dyDescent="0.25">
      <c r="A1801" t="s">
        <v>4677</v>
      </c>
      <c r="B1801">
        <v>462895</v>
      </c>
      <c r="C1801">
        <v>5890333</v>
      </c>
      <c r="D1801">
        <v>21</v>
      </c>
      <c r="E1801" t="s">
        <v>15</v>
      </c>
      <c r="F1801" t="s">
        <v>4678</v>
      </c>
      <c r="G1801">
        <v>3</v>
      </c>
      <c r="H1801" t="s">
        <v>1964</v>
      </c>
      <c r="I1801" t="s">
        <v>41</v>
      </c>
      <c r="J1801" t="s">
        <v>1965</v>
      </c>
      <c r="K1801" t="s">
        <v>56</v>
      </c>
      <c r="L1801" t="s">
        <v>1881</v>
      </c>
      <c r="M1801" s="3" t="str">
        <f>HYPERLINK("..\..\Imagery\ScannedPhotos\1977\MC77-197.2.jpg")</f>
        <v>..\..\Imagery\ScannedPhotos\1977\MC77-197.2.jpg</v>
      </c>
    </row>
    <row r="1802" spans="1:13" x14ac:dyDescent="0.25">
      <c r="A1802" t="s">
        <v>4677</v>
      </c>
      <c r="B1802">
        <v>462895</v>
      </c>
      <c r="C1802">
        <v>5890333</v>
      </c>
      <c r="D1802">
        <v>21</v>
      </c>
      <c r="E1802" t="s">
        <v>15</v>
      </c>
      <c r="F1802" t="s">
        <v>4679</v>
      </c>
      <c r="G1802">
        <v>3</v>
      </c>
      <c r="H1802" t="s">
        <v>1964</v>
      </c>
      <c r="I1802" t="s">
        <v>85</v>
      </c>
      <c r="J1802" t="s">
        <v>1965</v>
      </c>
      <c r="K1802" t="s">
        <v>20</v>
      </c>
      <c r="L1802" t="s">
        <v>4680</v>
      </c>
      <c r="M1802" s="3" t="str">
        <f>HYPERLINK("..\..\Imagery\ScannedPhotos\1977\MC77-197.3.jpg")</f>
        <v>..\..\Imagery\ScannedPhotos\1977\MC77-197.3.jpg</v>
      </c>
    </row>
    <row r="1803" spans="1:13" x14ac:dyDescent="0.25">
      <c r="A1803" t="s">
        <v>4677</v>
      </c>
      <c r="B1803">
        <v>462895</v>
      </c>
      <c r="C1803">
        <v>5890333</v>
      </c>
      <c r="D1803">
        <v>21</v>
      </c>
      <c r="E1803" t="s">
        <v>15</v>
      </c>
      <c r="F1803" t="s">
        <v>4681</v>
      </c>
      <c r="G1803">
        <v>3</v>
      </c>
      <c r="H1803" t="s">
        <v>1964</v>
      </c>
      <c r="I1803" t="s">
        <v>74</v>
      </c>
      <c r="J1803" t="s">
        <v>1965</v>
      </c>
      <c r="K1803" t="s">
        <v>20</v>
      </c>
      <c r="L1803" t="s">
        <v>4682</v>
      </c>
      <c r="M1803" s="3" t="str">
        <f>HYPERLINK("..\..\Imagery\ScannedPhotos\1977\MC77-197.1.jpg")</f>
        <v>..\..\Imagery\ScannedPhotos\1977\MC77-197.1.jpg</v>
      </c>
    </row>
    <row r="1804" spans="1:13" x14ac:dyDescent="0.25">
      <c r="A1804" t="s">
        <v>4683</v>
      </c>
      <c r="B1804">
        <v>480932</v>
      </c>
      <c r="C1804">
        <v>5890398</v>
      </c>
      <c r="D1804">
        <v>21</v>
      </c>
      <c r="E1804" t="s">
        <v>15</v>
      </c>
      <c r="F1804" t="s">
        <v>4684</v>
      </c>
      <c r="G1804">
        <v>1</v>
      </c>
      <c r="H1804" t="s">
        <v>1964</v>
      </c>
      <c r="I1804" t="s">
        <v>375</v>
      </c>
      <c r="J1804" t="s">
        <v>1965</v>
      </c>
      <c r="K1804" t="s">
        <v>20</v>
      </c>
      <c r="L1804" t="s">
        <v>1020</v>
      </c>
      <c r="M1804" s="3" t="str">
        <f>HYPERLINK("..\..\Imagery\ScannedPhotos\1977\MC77-199.jpg")</f>
        <v>..\..\Imagery\ScannedPhotos\1977\MC77-199.jpg</v>
      </c>
    </row>
    <row r="1805" spans="1:13" x14ac:dyDescent="0.25">
      <c r="A1805" t="s">
        <v>4685</v>
      </c>
      <c r="B1805">
        <v>465024</v>
      </c>
      <c r="C1805">
        <v>5902834</v>
      </c>
      <c r="D1805">
        <v>21</v>
      </c>
      <c r="E1805" t="s">
        <v>15</v>
      </c>
      <c r="F1805" t="s">
        <v>4686</v>
      </c>
      <c r="G1805">
        <v>1</v>
      </c>
      <c r="H1805" t="s">
        <v>1964</v>
      </c>
      <c r="I1805" t="s">
        <v>94</v>
      </c>
      <c r="J1805" t="s">
        <v>1965</v>
      </c>
      <c r="K1805" t="s">
        <v>20</v>
      </c>
      <c r="L1805" t="s">
        <v>1536</v>
      </c>
      <c r="M1805" s="3" t="str">
        <f>HYPERLINK("..\..\Imagery\ScannedPhotos\1977\MC77-201.jpg")</f>
        <v>..\..\Imagery\ScannedPhotos\1977\MC77-201.jpg</v>
      </c>
    </row>
    <row r="1806" spans="1:13" x14ac:dyDescent="0.25">
      <c r="A1806" t="s">
        <v>4687</v>
      </c>
      <c r="B1806">
        <v>575014</v>
      </c>
      <c r="C1806">
        <v>5832729</v>
      </c>
      <c r="D1806">
        <v>21</v>
      </c>
      <c r="E1806" t="s">
        <v>15</v>
      </c>
      <c r="F1806" t="s">
        <v>4688</v>
      </c>
      <c r="G1806">
        <v>8</v>
      </c>
      <c r="K1806" t="s">
        <v>20</v>
      </c>
      <c r="L1806" t="s">
        <v>3099</v>
      </c>
      <c r="M1806" s="3" t="str">
        <f>HYPERLINK("..\..\Imagery\ScannedPhotos\2011\CG11-001.7.jpg")</f>
        <v>..\..\Imagery\ScannedPhotos\2011\CG11-001.7.jpg</v>
      </c>
    </row>
    <row r="1807" spans="1:13" x14ac:dyDescent="0.25">
      <c r="A1807" t="s">
        <v>4689</v>
      </c>
      <c r="B1807">
        <v>575014</v>
      </c>
      <c r="C1807">
        <v>5832729</v>
      </c>
      <c r="D1807">
        <v>21</v>
      </c>
      <c r="E1807" t="s">
        <v>15</v>
      </c>
      <c r="F1807" t="s">
        <v>4690</v>
      </c>
      <c r="G1807">
        <v>8</v>
      </c>
      <c r="K1807" t="s">
        <v>20</v>
      </c>
      <c r="L1807" t="s">
        <v>3106</v>
      </c>
      <c r="M1807" s="3" t="str">
        <f>HYPERLINK("..\..\Imagery\ScannedPhotos\2011\CG11-001.8.jpg")</f>
        <v>..\..\Imagery\ScannedPhotos\2011\CG11-001.8.jpg</v>
      </c>
    </row>
    <row r="1808" spans="1:13" x14ac:dyDescent="0.25">
      <c r="A1808" t="s">
        <v>523</v>
      </c>
      <c r="B1808">
        <v>575599</v>
      </c>
      <c r="C1808">
        <v>5756653</v>
      </c>
      <c r="D1808">
        <v>21</v>
      </c>
      <c r="E1808" t="s">
        <v>15</v>
      </c>
      <c r="F1808" t="s">
        <v>4691</v>
      </c>
      <c r="G1808">
        <v>16</v>
      </c>
      <c r="K1808" t="s">
        <v>20</v>
      </c>
      <c r="L1808" t="s">
        <v>4692</v>
      </c>
      <c r="M1808" s="3" t="str">
        <f>HYPERLINK("..\..\Imagery\ScannedPhotos\1993\VN93-662.11.jpg")</f>
        <v>..\..\Imagery\ScannedPhotos\1993\VN93-662.11.jpg</v>
      </c>
    </row>
    <row r="1809" spans="1:13" x14ac:dyDescent="0.25">
      <c r="A1809" t="s">
        <v>4693</v>
      </c>
      <c r="B1809">
        <v>537500</v>
      </c>
      <c r="C1809">
        <v>5961500</v>
      </c>
      <c r="D1809">
        <v>21</v>
      </c>
      <c r="E1809" t="s">
        <v>15</v>
      </c>
      <c r="F1809" t="s">
        <v>4694</v>
      </c>
      <c r="G1809">
        <v>1</v>
      </c>
      <c r="H1809" t="s">
        <v>2084</v>
      </c>
      <c r="I1809" t="s">
        <v>143</v>
      </c>
      <c r="J1809" t="s">
        <v>1014</v>
      </c>
      <c r="K1809" t="s">
        <v>535</v>
      </c>
      <c r="L1809" t="s">
        <v>4695</v>
      </c>
      <c r="M1809" s="3" t="str">
        <f>HYPERLINK("..\..\Imagery\ScannedPhotos\1987\CG87-648.jpg")</f>
        <v>..\..\Imagery\ScannedPhotos\1987\CG87-648.jpg</v>
      </c>
    </row>
    <row r="1810" spans="1:13" x14ac:dyDescent="0.25">
      <c r="A1810" t="s">
        <v>3451</v>
      </c>
      <c r="B1810">
        <v>375521</v>
      </c>
      <c r="C1810">
        <v>6116185</v>
      </c>
      <c r="D1810">
        <v>21</v>
      </c>
      <c r="E1810" t="s">
        <v>15</v>
      </c>
      <c r="F1810" t="s">
        <v>4696</v>
      </c>
      <c r="G1810">
        <v>4</v>
      </c>
      <c r="H1810" t="s">
        <v>609</v>
      </c>
      <c r="I1810" t="s">
        <v>35</v>
      </c>
      <c r="J1810" t="s">
        <v>610</v>
      </c>
      <c r="K1810" t="s">
        <v>20</v>
      </c>
      <c r="L1810" t="s">
        <v>4697</v>
      </c>
      <c r="M1810" s="3" t="str">
        <f>HYPERLINK("..\..\Imagery\ScannedPhotos\1979\AD79-003.4.jpg")</f>
        <v>..\..\Imagery\ScannedPhotos\1979\AD79-003.4.jpg</v>
      </c>
    </row>
    <row r="1811" spans="1:13" x14ac:dyDescent="0.25">
      <c r="A1811" t="s">
        <v>3451</v>
      </c>
      <c r="B1811">
        <v>375521</v>
      </c>
      <c r="C1811">
        <v>6116185</v>
      </c>
      <c r="D1811">
        <v>21</v>
      </c>
      <c r="E1811" t="s">
        <v>15</v>
      </c>
      <c r="F1811" t="s">
        <v>4698</v>
      </c>
      <c r="G1811">
        <v>4</v>
      </c>
      <c r="H1811" t="s">
        <v>609</v>
      </c>
      <c r="I1811" t="s">
        <v>281</v>
      </c>
      <c r="J1811" t="s">
        <v>610</v>
      </c>
      <c r="K1811" t="s">
        <v>20</v>
      </c>
      <c r="L1811" t="s">
        <v>4699</v>
      </c>
      <c r="M1811" s="3" t="str">
        <f>HYPERLINK("..\..\Imagery\ScannedPhotos\1979\AD79-003.3.jpg")</f>
        <v>..\..\Imagery\ScannedPhotos\1979\AD79-003.3.jpg</v>
      </c>
    </row>
    <row r="1812" spans="1:13" x14ac:dyDescent="0.25">
      <c r="A1812" t="s">
        <v>4700</v>
      </c>
      <c r="B1812">
        <v>559047</v>
      </c>
      <c r="C1812">
        <v>5817512</v>
      </c>
      <c r="D1812">
        <v>21</v>
      </c>
      <c r="E1812" t="s">
        <v>15</v>
      </c>
      <c r="F1812" t="s">
        <v>4701</v>
      </c>
      <c r="G1812">
        <v>1</v>
      </c>
      <c r="H1812" t="s">
        <v>24</v>
      </c>
      <c r="I1812" t="s">
        <v>119</v>
      </c>
      <c r="J1812" t="s">
        <v>26</v>
      </c>
      <c r="K1812" t="s">
        <v>20</v>
      </c>
      <c r="L1812" t="s">
        <v>4702</v>
      </c>
      <c r="M1812" s="3" t="str">
        <f>HYPERLINK("..\..\Imagery\ScannedPhotos\1986\CG86-035.jpg")</f>
        <v>..\..\Imagery\ScannedPhotos\1986\CG86-035.jpg</v>
      </c>
    </row>
    <row r="1813" spans="1:13" x14ac:dyDescent="0.25">
      <c r="A1813" t="s">
        <v>4423</v>
      </c>
      <c r="B1813">
        <v>385106</v>
      </c>
      <c r="C1813">
        <v>5822639</v>
      </c>
      <c r="D1813">
        <v>21</v>
      </c>
      <c r="E1813" t="s">
        <v>15</v>
      </c>
      <c r="F1813" t="s">
        <v>4703</v>
      </c>
      <c r="G1813">
        <v>3</v>
      </c>
      <c r="H1813" t="s">
        <v>775</v>
      </c>
      <c r="I1813" t="s">
        <v>217</v>
      </c>
      <c r="J1813" t="s">
        <v>771</v>
      </c>
      <c r="K1813" t="s">
        <v>56</v>
      </c>
      <c r="L1813" t="s">
        <v>4704</v>
      </c>
      <c r="M1813" s="3" t="str">
        <f>HYPERLINK("..\..\Imagery\ScannedPhotos\1997\CG97-252.1.jpg")</f>
        <v>..\..\Imagery\ScannedPhotos\1997\CG97-252.1.jpg</v>
      </c>
    </row>
    <row r="1814" spans="1:13" x14ac:dyDescent="0.25">
      <c r="A1814" t="s">
        <v>4705</v>
      </c>
      <c r="B1814">
        <v>371537</v>
      </c>
      <c r="C1814">
        <v>5822772</v>
      </c>
      <c r="D1814">
        <v>21</v>
      </c>
      <c r="E1814" t="s">
        <v>15</v>
      </c>
      <c r="F1814" t="s">
        <v>4706</v>
      </c>
      <c r="G1814">
        <v>2</v>
      </c>
      <c r="H1814" t="s">
        <v>1913</v>
      </c>
      <c r="I1814" t="s">
        <v>79</v>
      </c>
      <c r="J1814" t="s">
        <v>771</v>
      </c>
      <c r="K1814" t="s">
        <v>20</v>
      </c>
      <c r="L1814" t="s">
        <v>4707</v>
      </c>
      <c r="M1814" s="3" t="str">
        <f>HYPERLINK("..\..\Imagery\ScannedPhotos\1997\CG97-269.1.jpg")</f>
        <v>..\..\Imagery\ScannedPhotos\1997\CG97-269.1.jpg</v>
      </c>
    </row>
    <row r="1815" spans="1:13" x14ac:dyDescent="0.25">
      <c r="A1815" t="s">
        <v>4708</v>
      </c>
      <c r="B1815">
        <v>390774</v>
      </c>
      <c r="C1815">
        <v>5905446</v>
      </c>
      <c r="D1815">
        <v>21</v>
      </c>
      <c r="E1815" t="s">
        <v>15</v>
      </c>
      <c r="F1815" t="s">
        <v>4709</v>
      </c>
      <c r="G1815">
        <v>1</v>
      </c>
      <c r="H1815" t="s">
        <v>562</v>
      </c>
      <c r="I1815" t="s">
        <v>129</v>
      </c>
      <c r="J1815" t="s">
        <v>563</v>
      </c>
      <c r="K1815" t="s">
        <v>20</v>
      </c>
      <c r="L1815" t="s">
        <v>4710</v>
      </c>
      <c r="M1815" s="3" t="str">
        <f>HYPERLINK("..\..\Imagery\ScannedPhotos\1995\VN95-162.jpg")</f>
        <v>..\..\Imagery\ScannedPhotos\1995\VN95-162.jpg</v>
      </c>
    </row>
    <row r="1816" spans="1:13" x14ac:dyDescent="0.25">
      <c r="A1816" t="s">
        <v>3730</v>
      </c>
      <c r="B1816">
        <v>399600</v>
      </c>
      <c r="C1816">
        <v>5907054</v>
      </c>
      <c r="D1816">
        <v>21</v>
      </c>
      <c r="E1816" t="s">
        <v>15</v>
      </c>
      <c r="F1816" t="s">
        <v>4711</v>
      </c>
      <c r="G1816">
        <v>4</v>
      </c>
      <c r="H1816" t="s">
        <v>562</v>
      </c>
      <c r="I1816" t="s">
        <v>52</v>
      </c>
      <c r="J1816" t="s">
        <v>563</v>
      </c>
      <c r="K1816" t="s">
        <v>56</v>
      </c>
      <c r="L1816" t="s">
        <v>3732</v>
      </c>
      <c r="M1816" s="3" t="str">
        <f>HYPERLINK("..\..\Imagery\ScannedPhotos\1995\VN95-173.4.jpg")</f>
        <v>..\..\Imagery\ScannedPhotos\1995\VN95-173.4.jpg</v>
      </c>
    </row>
    <row r="1817" spans="1:13" x14ac:dyDescent="0.25">
      <c r="A1817" t="s">
        <v>4712</v>
      </c>
      <c r="B1817">
        <v>487842</v>
      </c>
      <c r="C1817">
        <v>5847142</v>
      </c>
      <c r="D1817">
        <v>21</v>
      </c>
      <c r="E1817" t="s">
        <v>15</v>
      </c>
      <c r="F1817" t="s">
        <v>4713</v>
      </c>
      <c r="G1817">
        <v>2</v>
      </c>
      <c r="H1817" t="s">
        <v>1128</v>
      </c>
      <c r="I1817" t="s">
        <v>375</v>
      </c>
      <c r="J1817" t="s">
        <v>1129</v>
      </c>
      <c r="K1817" t="s">
        <v>20</v>
      </c>
      <c r="L1817" t="s">
        <v>4714</v>
      </c>
      <c r="M1817" s="3" t="str">
        <f>HYPERLINK("..\..\Imagery\ScannedPhotos\1991\VN91-105.1.jpg")</f>
        <v>..\..\Imagery\ScannedPhotos\1991\VN91-105.1.jpg</v>
      </c>
    </row>
    <row r="1818" spans="1:13" x14ac:dyDescent="0.25">
      <c r="A1818" t="s">
        <v>4712</v>
      </c>
      <c r="B1818">
        <v>487842</v>
      </c>
      <c r="C1818">
        <v>5847142</v>
      </c>
      <c r="D1818">
        <v>21</v>
      </c>
      <c r="E1818" t="s">
        <v>15</v>
      </c>
      <c r="F1818" t="s">
        <v>4715</v>
      </c>
      <c r="G1818">
        <v>2</v>
      </c>
      <c r="H1818" t="s">
        <v>1128</v>
      </c>
      <c r="I1818" t="s">
        <v>94</v>
      </c>
      <c r="J1818" t="s">
        <v>1129</v>
      </c>
      <c r="K1818" t="s">
        <v>56</v>
      </c>
      <c r="L1818" t="s">
        <v>4716</v>
      </c>
      <c r="M1818" s="3" t="str">
        <f>HYPERLINK("..\..\Imagery\ScannedPhotos\1991\VN91-105.2.jpg")</f>
        <v>..\..\Imagery\ScannedPhotos\1991\VN91-105.2.jpg</v>
      </c>
    </row>
    <row r="1819" spans="1:13" x14ac:dyDescent="0.25">
      <c r="A1819" t="s">
        <v>1126</v>
      </c>
      <c r="B1819">
        <v>487675</v>
      </c>
      <c r="C1819">
        <v>5846992</v>
      </c>
      <c r="D1819">
        <v>21</v>
      </c>
      <c r="E1819" t="s">
        <v>15</v>
      </c>
      <c r="F1819" t="s">
        <v>4717</v>
      </c>
      <c r="G1819">
        <v>3</v>
      </c>
      <c r="H1819" t="s">
        <v>1128</v>
      </c>
      <c r="I1819" t="s">
        <v>386</v>
      </c>
      <c r="J1819" t="s">
        <v>1129</v>
      </c>
      <c r="K1819" t="s">
        <v>20</v>
      </c>
      <c r="L1819" t="s">
        <v>4718</v>
      </c>
      <c r="M1819" s="3" t="str">
        <f>HYPERLINK("..\..\Imagery\ScannedPhotos\1991\VN91-106.2.jpg")</f>
        <v>..\..\Imagery\ScannedPhotos\1991\VN91-106.2.jpg</v>
      </c>
    </row>
    <row r="1820" spans="1:13" x14ac:dyDescent="0.25">
      <c r="A1820" t="s">
        <v>4586</v>
      </c>
      <c r="B1820">
        <v>495011</v>
      </c>
      <c r="C1820">
        <v>5841701</v>
      </c>
      <c r="D1820">
        <v>21</v>
      </c>
      <c r="E1820" t="s">
        <v>15</v>
      </c>
      <c r="F1820" t="s">
        <v>4719</v>
      </c>
      <c r="G1820">
        <v>5</v>
      </c>
      <c r="H1820" t="s">
        <v>3569</v>
      </c>
      <c r="I1820" t="s">
        <v>222</v>
      </c>
      <c r="J1820" t="s">
        <v>850</v>
      </c>
      <c r="K1820" t="s">
        <v>56</v>
      </c>
      <c r="L1820" t="s">
        <v>4720</v>
      </c>
      <c r="M1820" s="3" t="str">
        <f>HYPERLINK("..\..\Imagery\ScannedPhotos\1991\VN91-068.2.jpg")</f>
        <v>..\..\Imagery\ScannedPhotos\1991\VN91-068.2.jpg</v>
      </c>
    </row>
    <row r="1821" spans="1:13" x14ac:dyDescent="0.25">
      <c r="A1821" t="s">
        <v>4705</v>
      </c>
      <c r="B1821">
        <v>371537</v>
      </c>
      <c r="C1821">
        <v>5822772</v>
      </c>
      <c r="D1821">
        <v>21</v>
      </c>
      <c r="E1821" t="s">
        <v>15</v>
      </c>
      <c r="F1821" t="s">
        <v>4721</v>
      </c>
      <c r="G1821">
        <v>2</v>
      </c>
      <c r="H1821" t="s">
        <v>1913</v>
      </c>
      <c r="I1821" t="s">
        <v>281</v>
      </c>
      <c r="J1821" t="s">
        <v>771</v>
      </c>
      <c r="K1821" t="s">
        <v>56</v>
      </c>
      <c r="L1821" t="s">
        <v>4707</v>
      </c>
      <c r="M1821" s="3" t="str">
        <f>HYPERLINK("..\..\Imagery\ScannedPhotos\1997\CG97-269.2.jpg")</f>
        <v>..\..\Imagery\ScannedPhotos\1997\CG97-269.2.jpg</v>
      </c>
    </row>
    <row r="1822" spans="1:13" x14ac:dyDescent="0.25">
      <c r="A1822" t="s">
        <v>4722</v>
      </c>
      <c r="B1822">
        <v>512301</v>
      </c>
      <c r="C1822">
        <v>5953596</v>
      </c>
      <c r="D1822">
        <v>21</v>
      </c>
      <c r="E1822" t="s">
        <v>15</v>
      </c>
      <c r="F1822" t="s">
        <v>4723</v>
      </c>
      <c r="G1822">
        <v>4</v>
      </c>
      <c r="H1822" t="s">
        <v>4724</v>
      </c>
      <c r="I1822" t="s">
        <v>18</v>
      </c>
      <c r="J1822" t="s">
        <v>48</v>
      </c>
      <c r="K1822" t="s">
        <v>20</v>
      </c>
      <c r="L1822" t="s">
        <v>1370</v>
      </c>
      <c r="M1822" s="3" t="str">
        <f>HYPERLINK("..\..\Imagery\ScannedPhotos\1981\VO81-539.4.jpg")</f>
        <v>..\..\Imagery\ScannedPhotos\1981\VO81-539.4.jpg</v>
      </c>
    </row>
    <row r="1823" spans="1:13" x14ac:dyDescent="0.25">
      <c r="A1823" t="s">
        <v>4722</v>
      </c>
      <c r="B1823">
        <v>512301</v>
      </c>
      <c r="C1823">
        <v>5953596</v>
      </c>
      <c r="D1823">
        <v>21</v>
      </c>
      <c r="E1823" t="s">
        <v>15</v>
      </c>
      <c r="F1823" t="s">
        <v>4725</v>
      </c>
      <c r="G1823">
        <v>4</v>
      </c>
      <c r="H1823" t="s">
        <v>3158</v>
      </c>
      <c r="I1823" t="s">
        <v>209</v>
      </c>
      <c r="J1823" t="s">
        <v>48</v>
      </c>
      <c r="K1823" t="s">
        <v>20</v>
      </c>
      <c r="L1823" t="s">
        <v>4726</v>
      </c>
      <c r="M1823" s="3" t="str">
        <f>HYPERLINK("..\..\Imagery\ScannedPhotos\1981\VO81-539.2.jpg")</f>
        <v>..\..\Imagery\ScannedPhotos\1981\VO81-539.2.jpg</v>
      </c>
    </row>
    <row r="1824" spans="1:13" x14ac:dyDescent="0.25">
      <c r="A1824" t="s">
        <v>2519</v>
      </c>
      <c r="B1824">
        <v>434448</v>
      </c>
      <c r="C1824">
        <v>5867130</v>
      </c>
      <c r="D1824">
        <v>21</v>
      </c>
      <c r="E1824" t="s">
        <v>15</v>
      </c>
      <c r="F1824" t="s">
        <v>4727</v>
      </c>
      <c r="G1824">
        <v>7</v>
      </c>
      <c r="H1824" t="s">
        <v>2521</v>
      </c>
      <c r="I1824" t="s">
        <v>47</v>
      </c>
      <c r="J1824" t="s">
        <v>2522</v>
      </c>
      <c r="K1824" t="s">
        <v>20</v>
      </c>
      <c r="L1824" t="s">
        <v>4728</v>
      </c>
      <c r="M1824" s="3" t="str">
        <f>HYPERLINK("..\..\Imagery\ScannedPhotos\1991\VN91-424.6.jpg")</f>
        <v>..\..\Imagery\ScannedPhotos\1991\VN91-424.6.jpg</v>
      </c>
    </row>
    <row r="1825" spans="1:13" x14ac:dyDescent="0.25">
      <c r="A1825" t="s">
        <v>2519</v>
      </c>
      <c r="B1825">
        <v>434448</v>
      </c>
      <c r="C1825">
        <v>5867130</v>
      </c>
      <c r="D1825">
        <v>21</v>
      </c>
      <c r="E1825" t="s">
        <v>15</v>
      </c>
      <c r="F1825" t="s">
        <v>4729</v>
      </c>
      <c r="G1825">
        <v>7</v>
      </c>
      <c r="H1825" t="s">
        <v>2521</v>
      </c>
      <c r="I1825" t="s">
        <v>52</v>
      </c>
      <c r="J1825" t="s">
        <v>2522</v>
      </c>
      <c r="K1825" t="s">
        <v>56</v>
      </c>
      <c r="L1825" t="s">
        <v>4730</v>
      </c>
      <c r="M1825" s="3" t="str">
        <f>HYPERLINK("..\..\Imagery\ScannedPhotos\1991\VN91-424.7.jpg")</f>
        <v>..\..\Imagery\ScannedPhotos\1991\VN91-424.7.jpg</v>
      </c>
    </row>
    <row r="1826" spans="1:13" x14ac:dyDescent="0.25">
      <c r="A1826" t="s">
        <v>4731</v>
      </c>
      <c r="B1826">
        <v>457472</v>
      </c>
      <c r="C1826">
        <v>5863489</v>
      </c>
      <c r="D1826">
        <v>21</v>
      </c>
      <c r="E1826" t="s">
        <v>15</v>
      </c>
      <c r="F1826" t="s">
        <v>4732</v>
      </c>
      <c r="G1826">
        <v>6</v>
      </c>
      <c r="H1826" t="s">
        <v>4733</v>
      </c>
      <c r="I1826" t="s">
        <v>35</v>
      </c>
      <c r="J1826" t="s">
        <v>4734</v>
      </c>
      <c r="K1826" t="s">
        <v>20</v>
      </c>
      <c r="L1826" t="s">
        <v>4735</v>
      </c>
      <c r="M1826" s="3" t="str">
        <f>HYPERLINK("..\..\Imagery\ScannedPhotos\1991\VN91-431.6.jpg")</f>
        <v>..\..\Imagery\ScannedPhotos\1991\VN91-431.6.jpg</v>
      </c>
    </row>
    <row r="1827" spans="1:13" x14ac:dyDescent="0.25">
      <c r="A1827" t="s">
        <v>4731</v>
      </c>
      <c r="B1827">
        <v>457472</v>
      </c>
      <c r="C1827">
        <v>5863489</v>
      </c>
      <c r="D1827">
        <v>21</v>
      </c>
      <c r="E1827" t="s">
        <v>15</v>
      </c>
      <c r="F1827" t="s">
        <v>4736</v>
      </c>
      <c r="G1827">
        <v>6</v>
      </c>
      <c r="H1827" t="s">
        <v>4733</v>
      </c>
      <c r="I1827" t="s">
        <v>18</v>
      </c>
      <c r="J1827" t="s">
        <v>4734</v>
      </c>
      <c r="K1827" t="s">
        <v>20</v>
      </c>
      <c r="L1827" t="s">
        <v>4737</v>
      </c>
      <c r="M1827" s="3" t="str">
        <f>HYPERLINK("..\..\Imagery\ScannedPhotos\1991\VN91-431.5.jpg")</f>
        <v>..\..\Imagery\ScannedPhotos\1991\VN91-431.5.jpg</v>
      </c>
    </row>
    <row r="1828" spans="1:13" x14ac:dyDescent="0.25">
      <c r="A1828" t="s">
        <v>4731</v>
      </c>
      <c r="B1828">
        <v>457472</v>
      </c>
      <c r="C1828">
        <v>5863489</v>
      </c>
      <c r="D1828">
        <v>21</v>
      </c>
      <c r="E1828" t="s">
        <v>15</v>
      </c>
      <c r="F1828" t="s">
        <v>4738</v>
      </c>
      <c r="G1828">
        <v>6</v>
      </c>
      <c r="H1828" t="s">
        <v>1037</v>
      </c>
      <c r="I1828" t="s">
        <v>137</v>
      </c>
      <c r="J1828" t="s">
        <v>1038</v>
      </c>
      <c r="K1828" t="s">
        <v>20</v>
      </c>
      <c r="L1828" t="s">
        <v>322</v>
      </c>
      <c r="M1828" s="3" t="str">
        <f>HYPERLINK("..\..\Imagery\ScannedPhotos\1991\VN91-431.4.jpg")</f>
        <v>..\..\Imagery\ScannedPhotos\1991\VN91-431.4.jpg</v>
      </c>
    </row>
    <row r="1829" spans="1:13" x14ac:dyDescent="0.25">
      <c r="A1829" t="s">
        <v>4731</v>
      </c>
      <c r="B1829">
        <v>457472</v>
      </c>
      <c r="C1829">
        <v>5863489</v>
      </c>
      <c r="D1829">
        <v>21</v>
      </c>
      <c r="E1829" t="s">
        <v>15</v>
      </c>
      <c r="F1829" t="s">
        <v>4739</v>
      </c>
      <c r="G1829">
        <v>6</v>
      </c>
      <c r="H1829" t="s">
        <v>1037</v>
      </c>
      <c r="I1829" t="s">
        <v>79</v>
      </c>
      <c r="J1829" t="s">
        <v>1038</v>
      </c>
      <c r="K1829" t="s">
        <v>20</v>
      </c>
      <c r="L1829" t="s">
        <v>4740</v>
      </c>
      <c r="M1829" s="3" t="str">
        <f>HYPERLINK("..\..\Imagery\ScannedPhotos\1991\VN91-431.2.jpg")</f>
        <v>..\..\Imagery\ScannedPhotos\1991\VN91-431.2.jpg</v>
      </c>
    </row>
    <row r="1830" spans="1:13" x14ac:dyDescent="0.25">
      <c r="A1830" t="s">
        <v>4741</v>
      </c>
      <c r="B1830">
        <v>495032</v>
      </c>
      <c r="C1830">
        <v>5968359</v>
      </c>
      <c r="D1830">
        <v>21</v>
      </c>
      <c r="E1830" t="s">
        <v>15</v>
      </c>
      <c r="F1830" t="s">
        <v>4742</v>
      </c>
      <c r="G1830">
        <v>3</v>
      </c>
      <c r="H1830" t="s">
        <v>1964</v>
      </c>
      <c r="I1830" t="s">
        <v>47</v>
      </c>
      <c r="J1830" t="s">
        <v>1965</v>
      </c>
      <c r="K1830" t="s">
        <v>20</v>
      </c>
      <c r="L1830" t="s">
        <v>4743</v>
      </c>
      <c r="M1830" s="3" t="str">
        <f>HYPERLINK("..\..\Imagery\ScannedPhotos\1977\MC77-238.3.jpg")</f>
        <v>..\..\Imagery\ScannedPhotos\1977\MC77-238.3.jpg</v>
      </c>
    </row>
    <row r="1831" spans="1:13" x14ac:dyDescent="0.25">
      <c r="A1831" t="s">
        <v>4744</v>
      </c>
      <c r="B1831">
        <v>501318</v>
      </c>
      <c r="C1831">
        <v>5966230</v>
      </c>
      <c r="D1831">
        <v>21</v>
      </c>
      <c r="E1831" t="s">
        <v>15</v>
      </c>
      <c r="F1831" t="s">
        <v>4745</v>
      </c>
      <c r="G1831">
        <v>2</v>
      </c>
      <c r="H1831" t="s">
        <v>1964</v>
      </c>
      <c r="I1831" t="s">
        <v>65</v>
      </c>
      <c r="J1831" t="s">
        <v>1965</v>
      </c>
      <c r="K1831" t="s">
        <v>20</v>
      </c>
      <c r="L1831" t="s">
        <v>639</v>
      </c>
      <c r="M1831" s="3" t="str">
        <f>HYPERLINK("..\..\Imagery\ScannedPhotos\1977\MC77-239.2.jpg")</f>
        <v>..\..\Imagery\ScannedPhotos\1977\MC77-239.2.jpg</v>
      </c>
    </row>
    <row r="1832" spans="1:13" x14ac:dyDescent="0.25">
      <c r="A1832" t="s">
        <v>4744</v>
      </c>
      <c r="B1832">
        <v>501318</v>
      </c>
      <c r="C1832">
        <v>5966230</v>
      </c>
      <c r="D1832">
        <v>21</v>
      </c>
      <c r="E1832" t="s">
        <v>15</v>
      </c>
      <c r="F1832" t="s">
        <v>4746</v>
      </c>
      <c r="G1832">
        <v>2</v>
      </c>
      <c r="H1832" t="s">
        <v>1964</v>
      </c>
      <c r="I1832" t="s">
        <v>52</v>
      </c>
      <c r="J1832" t="s">
        <v>1965</v>
      </c>
      <c r="K1832" t="s">
        <v>20</v>
      </c>
      <c r="L1832" t="s">
        <v>4747</v>
      </c>
      <c r="M1832" s="3" t="str">
        <f>HYPERLINK("..\..\Imagery\ScannedPhotos\1977\MC77-239.1.jpg")</f>
        <v>..\..\Imagery\ScannedPhotos\1977\MC77-239.1.jpg</v>
      </c>
    </row>
    <row r="1833" spans="1:13" x14ac:dyDescent="0.25">
      <c r="A1833" t="s">
        <v>4748</v>
      </c>
      <c r="B1833">
        <v>502612</v>
      </c>
      <c r="C1833">
        <v>5965633</v>
      </c>
      <c r="D1833">
        <v>21</v>
      </c>
      <c r="E1833" t="s">
        <v>15</v>
      </c>
      <c r="F1833" t="s">
        <v>4749</v>
      </c>
      <c r="G1833">
        <v>2</v>
      </c>
      <c r="H1833" t="s">
        <v>3587</v>
      </c>
      <c r="I1833" t="s">
        <v>79</v>
      </c>
      <c r="J1833" t="s">
        <v>3588</v>
      </c>
      <c r="K1833" t="s">
        <v>20</v>
      </c>
      <c r="L1833" t="s">
        <v>2008</v>
      </c>
      <c r="M1833" s="3" t="str">
        <f>HYPERLINK("..\..\Imagery\ScannedPhotos\1977\MC77-240.2.jpg")</f>
        <v>..\..\Imagery\ScannedPhotos\1977\MC77-240.2.jpg</v>
      </c>
    </row>
    <row r="1834" spans="1:13" x14ac:dyDescent="0.25">
      <c r="A1834" t="s">
        <v>4748</v>
      </c>
      <c r="B1834">
        <v>502612</v>
      </c>
      <c r="C1834">
        <v>5965633</v>
      </c>
      <c r="D1834">
        <v>21</v>
      </c>
      <c r="E1834" t="s">
        <v>15</v>
      </c>
      <c r="F1834" t="s">
        <v>4750</v>
      </c>
      <c r="G1834">
        <v>2</v>
      </c>
      <c r="H1834" t="s">
        <v>3587</v>
      </c>
      <c r="I1834" t="s">
        <v>294</v>
      </c>
      <c r="J1834" t="s">
        <v>3588</v>
      </c>
      <c r="K1834" t="s">
        <v>20</v>
      </c>
      <c r="L1834" t="s">
        <v>4751</v>
      </c>
      <c r="M1834" s="3" t="str">
        <f>HYPERLINK("..\..\Imagery\ScannedPhotos\1977\MC77-240.1.jpg")</f>
        <v>..\..\Imagery\ScannedPhotos\1977\MC77-240.1.jpg</v>
      </c>
    </row>
    <row r="1835" spans="1:13" x14ac:dyDescent="0.25">
      <c r="A1835" t="s">
        <v>4752</v>
      </c>
      <c r="B1835">
        <v>581968</v>
      </c>
      <c r="C1835">
        <v>5875728</v>
      </c>
      <c r="D1835">
        <v>21</v>
      </c>
      <c r="E1835" t="s">
        <v>15</v>
      </c>
      <c r="F1835" t="s">
        <v>4753</v>
      </c>
      <c r="G1835">
        <v>3</v>
      </c>
      <c r="H1835" t="s">
        <v>1013</v>
      </c>
      <c r="I1835" t="s">
        <v>132</v>
      </c>
      <c r="J1835" t="s">
        <v>1014</v>
      </c>
      <c r="K1835" t="s">
        <v>20</v>
      </c>
      <c r="L1835" t="s">
        <v>1160</v>
      </c>
      <c r="M1835" s="3" t="str">
        <f>HYPERLINK("..\..\Imagery\ScannedPhotos\1985\CG85-472.3.jpg")</f>
        <v>..\..\Imagery\ScannedPhotos\1985\CG85-472.3.jpg</v>
      </c>
    </row>
    <row r="1836" spans="1:13" x14ac:dyDescent="0.25">
      <c r="A1836" t="s">
        <v>3140</v>
      </c>
      <c r="B1836">
        <v>507409</v>
      </c>
      <c r="C1836">
        <v>5849540</v>
      </c>
      <c r="D1836">
        <v>21</v>
      </c>
      <c r="E1836" t="s">
        <v>15</v>
      </c>
      <c r="F1836" t="s">
        <v>4754</v>
      </c>
      <c r="G1836">
        <v>2</v>
      </c>
      <c r="H1836" t="s">
        <v>1232</v>
      </c>
      <c r="I1836" t="s">
        <v>35</v>
      </c>
      <c r="J1836" t="s">
        <v>1233</v>
      </c>
      <c r="K1836" t="s">
        <v>56</v>
      </c>
      <c r="L1836" t="s">
        <v>3142</v>
      </c>
      <c r="M1836" s="3" t="str">
        <f>HYPERLINK("..\..\Imagery\ScannedPhotos\1986\CG86-199.1.jpg")</f>
        <v>..\..\Imagery\ScannedPhotos\1986\CG86-199.1.jpg</v>
      </c>
    </row>
    <row r="1837" spans="1:13" x14ac:dyDescent="0.25">
      <c r="A1837" t="s">
        <v>2150</v>
      </c>
      <c r="B1837">
        <v>572815</v>
      </c>
      <c r="C1837">
        <v>5876898</v>
      </c>
      <c r="D1837">
        <v>21</v>
      </c>
      <c r="E1837" t="s">
        <v>15</v>
      </c>
      <c r="F1837" t="s">
        <v>4755</v>
      </c>
      <c r="G1837">
        <v>6</v>
      </c>
      <c r="H1837" t="s">
        <v>1507</v>
      </c>
      <c r="I1837" t="s">
        <v>74</v>
      </c>
      <c r="J1837" t="s">
        <v>1508</v>
      </c>
      <c r="K1837" t="s">
        <v>20</v>
      </c>
      <c r="L1837" t="s">
        <v>2152</v>
      </c>
      <c r="M1837" s="3" t="str">
        <f>HYPERLINK("..\..\Imagery\ScannedPhotos\1985\GM85-476.2.jpg")</f>
        <v>..\..\Imagery\ScannedPhotos\1985\GM85-476.2.jpg</v>
      </c>
    </row>
    <row r="1838" spans="1:13" x14ac:dyDescent="0.25">
      <c r="A1838" t="s">
        <v>2150</v>
      </c>
      <c r="B1838">
        <v>572815</v>
      </c>
      <c r="C1838">
        <v>5876898</v>
      </c>
      <c r="D1838">
        <v>21</v>
      </c>
      <c r="E1838" t="s">
        <v>15</v>
      </c>
      <c r="F1838" t="s">
        <v>4756</v>
      </c>
      <c r="G1838">
        <v>6</v>
      </c>
      <c r="H1838" t="s">
        <v>1507</v>
      </c>
      <c r="I1838" t="s">
        <v>94</v>
      </c>
      <c r="J1838" t="s">
        <v>1508</v>
      </c>
      <c r="K1838" t="s">
        <v>56</v>
      </c>
      <c r="L1838" t="s">
        <v>4757</v>
      </c>
      <c r="M1838" s="3" t="str">
        <f>HYPERLINK("..\..\Imagery\ScannedPhotos\1985\GM85-476.6.jpg")</f>
        <v>..\..\Imagery\ScannedPhotos\1985\GM85-476.6.jpg</v>
      </c>
    </row>
    <row r="1839" spans="1:13" x14ac:dyDescent="0.25">
      <c r="A1839" t="s">
        <v>4758</v>
      </c>
      <c r="B1839">
        <v>576642</v>
      </c>
      <c r="C1839">
        <v>5882462</v>
      </c>
      <c r="D1839">
        <v>21</v>
      </c>
      <c r="E1839" t="s">
        <v>15</v>
      </c>
      <c r="F1839" t="s">
        <v>4759</v>
      </c>
      <c r="G1839">
        <v>3</v>
      </c>
      <c r="H1839" t="s">
        <v>1507</v>
      </c>
      <c r="I1839" t="s">
        <v>386</v>
      </c>
      <c r="J1839" t="s">
        <v>1508</v>
      </c>
      <c r="K1839" t="s">
        <v>20</v>
      </c>
      <c r="L1839" t="s">
        <v>4760</v>
      </c>
      <c r="M1839" s="3" t="str">
        <f>HYPERLINK("..\..\Imagery\ScannedPhotos\1985\GM85-479.2.jpg")</f>
        <v>..\..\Imagery\ScannedPhotos\1985\GM85-479.2.jpg</v>
      </c>
    </row>
    <row r="1840" spans="1:13" x14ac:dyDescent="0.25">
      <c r="A1840" t="s">
        <v>4758</v>
      </c>
      <c r="B1840">
        <v>576642</v>
      </c>
      <c r="C1840">
        <v>5882462</v>
      </c>
      <c r="D1840">
        <v>21</v>
      </c>
      <c r="E1840" t="s">
        <v>15</v>
      </c>
      <c r="F1840" t="s">
        <v>4761</v>
      </c>
      <c r="G1840">
        <v>3</v>
      </c>
      <c r="H1840" t="s">
        <v>1507</v>
      </c>
      <c r="I1840" t="s">
        <v>217</v>
      </c>
      <c r="J1840" t="s">
        <v>1508</v>
      </c>
      <c r="K1840" t="s">
        <v>20</v>
      </c>
      <c r="L1840" t="s">
        <v>4760</v>
      </c>
      <c r="M1840" s="3" t="str">
        <f>HYPERLINK("..\..\Imagery\ScannedPhotos\1985\GM85-479.3.jpg")</f>
        <v>..\..\Imagery\ScannedPhotos\1985\GM85-479.3.jpg</v>
      </c>
    </row>
    <row r="1841" spans="1:13" x14ac:dyDescent="0.25">
      <c r="A1841" t="s">
        <v>3146</v>
      </c>
      <c r="B1841">
        <v>499717</v>
      </c>
      <c r="C1841">
        <v>5791130</v>
      </c>
      <c r="D1841">
        <v>21</v>
      </c>
      <c r="E1841" t="s">
        <v>15</v>
      </c>
      <c r="F1841" t="s">
        <v>4762</v>
      </c>
      <c r="G1841">
        <v>6</v>
      </c>
      <c r="H1841" t="s">
        <v>1095</v>
      </c>
      <c r="I1841" t="s">
        <v>647</v>
      </c>
      <c r="J1841" t="s">
        <v>1096</v>
      </c>
      <c r="K1841" t="s">
        <v>20</v>
      </c>
      <c r="L1841" t="s">
        <v>4763</v>
      </c>
      <c r="M1841" s="3" t="str">
        <f>HYPERLINK("..\..\Imagery\ScannedPhotos\1992\VN92-070.5.jpg")</f>
        <v>..\..\Imagery\ScannedPhotos\1992\VN92-070.5.jpg</v>
      </c>
    </row>
    <row r="1842" spans="1:13" x14ac:dyDescent="0.25">
      <c r="A1842" t="s">
        <v>3287</v>
      </c>
      <c r="B1842">
        <v>484245</v>
      </c>
      <c r="C1842">
        <v>5927555</v>
      </c>
      <c r="D1842">
        <v>21</v>
      </c>
      <c r="E1842" t="s">
        <v>15</v>
      </c>
      <c r="F1842" t="s">
        <v>4764</v>
      </c>
      <c r="G1842">
        <v>3</v>
      </c>
      <c r="H1842" t="s">
        <v>632</v>
      </c>
      <c r="I1842" t="s">
        <v>74</v>
      </c>
      <c r="J1842" t="s">
        <v>633</v>
      </c>
      <c r="K1842" t="s">
        <v>20</v>
      </c>
      <c r="L1842" t="s">
        <v>4765</v>
      </c>
      <c r="M1842" s="3" t="str">
        <f>HYPERLINK("..\..\Imagery\ScannedPhotos\1977\MC77-080.2.jpg")</f>
        <v>..\..\Imagery\ScannedPhotos\1977\MC77-080.2.jpg</v>
      </c>
    </row>
    <row r="1843" spans="1:13" x14ac:dyDescent="0.25">
      <c r="A1843" t="s">
        <v>3287</v>
      </c>
      <c r="B1843">
        <v>484245</v>
      </c>
      <c r="C1843">
        <v>5927555</v>
      </c>
      <c r="D1843">
        <v>21</v>
      </c>
      <c r="E1843" t="s">
        <v>15</v>
      </c>
      <c r="F1843" t="s">
        <v>4766</v>
      </c>
      <c r="G1843">
        <v>3</v>
      </c>
      <c r="H1843" t="s">
        <v>632</v>
      </c>
      <c r="I1843" t="s">
        <v>41</v>
      </c>
      <c r="J1843" t="s">
        <v>633</v>
      </c>
      <c r="K1843" t="s">
        <v>20</v>
      </c>
      <c r="L1843" t="s">
        <v>4765</v>
      </c>
      <c r="M1843" s="3" t="str">
        <f>HYPERLINK("..\..\Imagery\ScannedPhotos\1977\MC77-080.3.jpg")</f>
        <v>..\..\Imagery\ScannedPhotos\1977\MC77-080.3.jpg</v>
      </c>
    </row>
    <row r="1844" spans="1:13" x14ac:dyDescent="0.25">
      <c r="A1844" t="s">
        <v>4767</v>
      </c>
      <c r="B1844">
        <v>536417</v>
      </c>
      <c r="C1844">
        <v>5941109</v>
      </c>
      <c r="D1844">
        <v>21</v>
      </c>
      <c r="E1844" t="s">
        <v>15</v>
      </c>
      <c r="F1844" t="s">
        <v>4768</v>
      </c>
      <c r="G1844">
        <v>3</v>
      </c>
      <c r="H1844" t="s">
        <v>817</v>
      </c>
      <c r="I1844" t="s">
        <v>214</v>
      </c>
      <c r="J1844" t="s">
        <v>48</v>
      </c>
      <c r="K1844" t="s">
        <v>20</v>
      </c>
      <c r="L1844" t="s">
        <v>4769</v>
      </c>
      <c r="M1844" s="3" t="str">
        <f>HYPERLINK("..\..\Imagery\ScannedPhotos\1981\VO81-569.2.jpg")</f>
        <v>..\..\Imagery\ScannedPhotos\1981\VO81-569.2.jpg</v>
      </c>
    </row>
    <row r="1845" spans="1:13" x14ac:dyDescent="0.25">
      <c r="A1845" t="s">
        <v>4770</v>
      </c>
      <c r="B1845">
        <v>491525</v>
      </c>
      <c r="C1845">
        <v>6047705</v>
      </c>
      <c r="D1845">
        <v>21</v>
      </c>
      <c r="E1845" t="s">
        <v>15</v>
      </c>
      <c r="F1845" t="s">
        <v>4771</v>
      </c>
      <c r="G1845">
        <v>1</v>
      </c>
      <c r="H1845" t="s">
        <v>700</v>
      </c>
      <c r="I1845" t="s">
        <v>74</v>
      </c>
      <c r="J1845" t="s">
        <v>210</v>
      </c>
      <c r="K1845" t="s">
        <v>20</v>
      </c>
      <c r="L1845" t="s">
        <v>4772</v>
      </c>
      <c r="M1845" s="3" t="str">
        <f>HYPERLINK("..\..\Imagery\ScannedPhotos\1979\CG79-308.jpg")</f>
        <v>..\..\Imagery\ScannedPhotos\1979\CG79-308.jpg</v>
      </c>
    </row>
    <row r="1846" spans="1:13" x14ac:dyDescent="0.25">
      <c r="A1846" t="s">
        <v>4554</v>
      </c>
      <c r="B1846">
        <v>435648</v>
      </c>
      <c r="C1846">
        <v>5899908</v>
      </c>
      <c r="D1846">
        <v>21</v>
      </c>
      <c r="E1846" t="s">
        <v>15</v>
      </c>
      <c r="F1846" t="s">
        <v>4773</v>
      </c>
      <c r="G1846">
        <v>10</v>
      </c>
      <c r="H1846" t="s">
        <v>3982</v>
      </c>
      <c r="I1846" t="s">
        <v>137</v>
      </c>
      <c r="J1846" t="s">
        <v>2247</v>
      </c>
      <c r="K1846" t="s">
        <v>20</v>
      </c>
      <c r="L1846" t="s">
        <v>642</v>
      </c>
      <c r="M1846" s="3" t="str">
        <f>HYPERLINK("..\..\Imagery\ScannedPhotos\1984\CG84-435.8.jpg")</f>
        <v>..\..\Imagery\ScannedPhotos\1984\CG84-435.8.jpg</v>
      </c>
    </row>
    <row r="1847" spans="1:13" x14ac:dyDescent="0.25">
      <c r="A1847" t="s">
        <v>4554</v>
      </c>
      <c r="B1847">
        <v>435648</v>
      </c>
      <c r="C1847">
        <v>5899908</v>
      </c>
      <c r="D1847">
        <v>21</v>
      </c>
      <c r="E1847" t="s">
        <v>15</v>
      </c>
      <c r="F1847" t="s">
        <v>4774</v>
      </c>
      <c r="G1847">
        <v>10</v>
      </c>
      <c r="H1847" t="s">
        <v>3982</v>
      </c>
      <c r="I1847" t="s">
        <v>281</v>
      </c>
      <c r="J1847" t="s">
        <v>2247</v>
      </c>
      <c r="K1847" t="s">
        <v>20</v>
      </c>
      <c r="L1847" t="s">
        <v>642</v>
      </c>
      <c r="M1847" s="3" t="str">
        <f>HYPERLINK("..\..\Imagery\ScannedPhotos\1984\CG84-435.7.jpg")</f>
        <v>..\..\Imagery\ScannedPhotos\1984\CG84-435.7.jpg</v>
      </c>
    </row>
    <row r="1848" spans="1:13" x14ac:dyDescent="0.25">
      <c r="A1848" t="s">
        <v>1046</v>
      </c>
      <c r="B1848">
        <v>471915</v>
      </c>
      <c r="C1848">
        <v>5860622</v>
      </c>
      <c r="D1848">
        <v>21</v>
      </c>
      <c r="E1848" t="s">
        <v>15</v>
      </c>
      <c r="F1848" t="s">
        <v>4775</v>
      </c>
      <c r="G1848">
        <v>2</v>
      </c>
      <c r="H1848" t="s">
        <v>1048</v>
      </c>
      <c r="I1848" t="s">
        <v>294</v>
      </c>
      <c r="J1848" t="s">
        <v>1038</v>
      </c>
      <c r="K1848" t="s">
        <v>20</v>
      </c>
      <c r="L1848" t="s">
        <v>4776</v>
      </c>
      <c r="M1848" s="3" t="str">
        <f>HYPERLINK("..\..\Imagery\ScannedPhotos\1991\DD91-108.1.jpg")</f>
        <v>..\..\Imagery\ScannedPhotos\1991\DD91-108.1.jpg</v>
      </c>
    </row>
    <row r="1849" spans="1:13" x14ac:dyDescent="0.25">
      <c r="A1849" t="s">
        <v>2000</v>
      </c>
      <c r="B1849">
        <v>390601</v>
      </c>
      <c r="C1849">
        <v>6078130</v>
      </c>
      <c r="D1849">
        <v>21</v>
      </c>
      <c r="E1849" t="s">
        <v>15</v>
      </c>
      <c r="F1849" t="s">
        <v>4777</v>
      </c>
      <c r="G1849">
        <v>4</v>
      </c>
      <c r="H1849" t="s">
        <v>1872</v>
      </c>
      <c r="I1849" t="s">
        <v>147</v>
      </c>
      <c r="J1849" t="s">
        <v>1873</v>
      </c>
      <c r="K1849" t="s">
        <v>20</v>
      </c>
      <c r="L1849" t="s">
        <v>3283</v>
      </c>
      <c r="M1849" s="3" t="str">
        <f>HYPERLINK("..\..\Imagery\ScannedPhotos\1979\CG79-038.1.jpg")</f>
        <v>..\..\Imagery\ScannedPhotos\1979\CG79-038.1.jpg</v>
      </c>
    </row>
    <row r="1850" spans="1:13" x14ac:dyDescent="0.25">
      <c r="A1850" t="s">
        <v>4778</v>
      </c>
      <c r="B1850">
        <v>456939</v>
      </c>
      <c r="C1850">
        <v>6006838</v>
      </c>
      <c r="D1850">
        <v>21</v>
      </c>
      <c r="E1850" t="s">
        <v>15</v>
      </c>
      <c r="F1850" t="s">
        <v>4779</v>
      </c>
      <c r="G1850">
        <v>1</v>
      </c>
      <c r="H1850" t="s">
        <v>93</v>
      </c>
      <c r="I1850" t="s">
        <v>47</v>
      </c>
      <c r="J1850" t="s">
        <v>95</v>
      </c>
      <c r="K1850" t="s">
        <v>20</v>
      </c>
      <c r="L1850" t="s">
        <v>4780</v>
      </c>
      <c r="M1850" s="3" t="str">
        <f>HYPERLINK("..\..\Imagery\ScannedPhotos\1980\CG80-284.jpg")</f>
        <v>..\..\Imagery\ScannedPhotos\1980\CG80-284.jpg</v>
      </c>
    </row>
    <row r="1851" spans="1:13" x14ac:dyDescent="0.25">
      <c r="A1851" t="s">
        <v>4781</v>
      </c>
      <c r="B1851">
        <v>456435</v>
      </c>
      <c r="C1851">
        <v>6006498</v>
      </c>
      <c r="D1851">
        <v>21</v>
      </c>
      <c r="E1851" t="s">
        <v>15</v>
      </c>
      <c r="F1851" t="s">
        <v>4782</v>
      </c>
      <c r="G1851">
        <v>1</v>
      </c>
      <c r="H1851" t="s">
        <v>93</v>
      </c>
      <c r="I1851" t="s">
        <v>52</v>
      </c>
      <c r="J1851" t="s">
        <v>95</v>
      </c>
      <c r="K1851" t="s">
        <v>20</v>
      </c>
      <c r="L1851" t="s">
        <v>4783</v>
      </c>
      <c r="M1851" s="3" t="str">
        <f>HYPERLINK("..\..\Imagery\ScannedPhotos\1980\CG80-286.jpg")</f>
        <v>..\..\Imagery\ScannedPhotos\1980\CG80-286.jpg</v>
      </c>
    </row>
    <row r="1852" spans="1:13" x14ac:dyDescent="0.25">
      <c r="A1852" t="s">
        <v>4784</v>
      </c>
      <c r="B1852">
        <v>455822</v>
      </c>
      <c r="C1852">
        <v>6006534</v>
      </c>
      <c r="D1852">
        <v>21</v>
      </c>
      <c r="E1852" t="s">
        <v>15</v>
      </c>
      <c r="F1852" t="s">
        <v>4785</v>
      </c>
      <c r="G1852">
        <v>1</v>
      </c>
      <c r="H1852" t="s">
        <v>93</v>
      </c>
      <c r="I1852" t="s">
        <v>401</v>
      </c>
      <c r="J1852" t="s">
        <v>95</v>
      </c>
      <c r="K1852" t="s">
        <v>20</v>
      </c>
      <c r="L1852" t="s">
        <v>4786</v>
      </c>
      <c r="M1852" s="3" t="str">
        <f>HYPERLINK("..\..\Imagery\ScannedPhotos\1980\CG80-288.jpg")</f>
        <v>..\..\Imagery\ScannedPhotos\1980\CG80-288.jpg</v>
      </c>
    </row>
    <row r="1853" spans="1:13" x14ac:dyDescent="0.25">
      <c r="A1853" t="s">
        <v>4787</v>
      </c>
      <c r="B1853">
        <v>413008</v>
      </c>
      <c r="C1853">
        <v>5993976</v>
      </c>
      <c r="D1853">
        <v>21</v>
      </c>
      <c r="E1853" t="s">
        <v>15</v>
      </c>
      <c r="F1853" t="s">
        <v>4788</v>
      </c>
      <c r="G1853">
        <v>2</v>
      </c>
      <c r="H1853" t="s">
        <v>758</v>
      </c>
      <c r="I1853" t="s">
        <v>108</v>
      </c>
      <c r="J1853" t="s">
        <v>759</v>
      </c>
      <c r="K1853" t="s">
        <v>20</v>
      </c>
      <c r="L1853" t="s">
        <v>4789</v>
      </c>
      <c r="M1853" s="3" t="str">
        <f>HYPERLINK("..\..\Imagery\ScannedPhotos\1980\RG80-069.1.jpg")</f>
        <v>..\..\Imagery\ScannedPhotos\1980\RG80-069.1.jpg</v>
      </c>
    </row>
    <row r="1854" spans="1:13" x14ac:dyDescent="0.25">
      <c r="A1854" t="s">
        <v>4790</v>
      </c>
      <c r="B1854">
        <v>413187</v>
      </c>
      <c r="C1854">
        <v>5994077</v>
      </c>
      <c r="D1854">
        <v>21</v>
      </c>
      <c r="E1854" t="s">
        <v>15</v>
      </c>
      <c r="F1854" t="s">
        <v>4791</v>
      </c>
      <c r="G1854">
        <v>1</v>
      </c>
      <c r="H1854" t="s">
        <v>758</v>
      </c>
      <c r="I1854" t="s">
        <v>129</v>
      </c>
      <c r="J1854" t="s">
        <v>759</v>
      </c>
      <c r="K1854" t="s">
        <v>20</v>
      </c>
      <c r="L1854" t="s">
        <v>4789</v>
      </c>
      <c r="M1854" s="3" t="str">
        <f>HYPERLINK("..\..\Imagery\ScannedPhotos\1980\RG80-070.jpg")</f>
        <v>..\..\Imagery\ScannedPhotos\1980\RG80-070.jpg</v>
      </c>
    </row>
    <row r="1855" spans="1:13" x14ac:dyDescent="0.25">
      <c r="A1855" t="s">
        <v>4792</v>
      </c>
      <c r="B1855">
        <v>581036</v>
      </c>
      <c r="C1855">
        <v>5930317</v>
      </c>
      <c r="D1855">
        <v>21</v>
      </c>
      <c r="E1855" t="s">
        <v>15</v>
      </c>
      <c r="F1855" t="s">
        <v>4793</v>
      </c>
      <c r="G1855">
        <v>3</v>
      </c>
      <c r="H1855" t="s">
        <v>1796</v>
      </c>
      <c r="I1855" t="s">
        <v>108</v>
      </c>
      <c r="J1855" t="s">
        <v>1797</v>
      </c>
      <c r="K1855" t="s">
        <v>20</v>
      </c>
      <c r="L1855" t="s">
        <v>4794</v>
      </c>
      <c r="M1855" s="3" t="str">
        <f>HYPERLINK("..\..\Imagery\ScannedPhotos\1985\VN85-420.1.jpg")</f>
        <v>..\..\Imagery\ScannedPhotos\1985\VN85-420.1.jpg</v>
      </c>
    </row>
    <row r="1856" spans="1:13" x14ac:dyDescent="0.25">
      <c r="A1856" t="s">
        <v>4792</v>
      </c>
      <c r="B1856">
        <v>581036</v>
      </c>
      <c r="C1856">
        <v>5930317</v>
      </c>
      <c r="D1856">
        <v>21</v>
      </c>
      <c r="E1856" t="s">
        <v>15</v>
      </c>
      <c r="F1856" t="s">
        <v>4795</v>
      </c>
      <c r="G1856">
        <v>3</v>
      </c>
      <c r="H1856" t="s">
        <v>1796</v>
      </c>
      <c r="I1856" t="s">
        <v>132</v>
      </c>
      <c r="J1856" t="s">
        <v>1797</v>
      </c>
      <c r="K1856" t="s">
        <v>56</v>
      </c>
      <c r="L1856" t="s">
        <v>4794</v>
      </c>
      <c r="M1856" s="3" t="str">
        <f>HYPERLINK("..\..\Imagery\ScannedPhotos\1985\VN85-420.2.jpg")</f>
        <v>..\..\Imagery\ScannedPhotos\1985\VN85-420.2.jpg</v>
      </c>
    </row>
    <row r="1857" spans="1:13" x14ac:dyDescent="0.25">
      <c r="A1857" t="s">
        <v>4796</v>
      </c>
      <c r="B1857">
        <v>377429</v>
      </c>
      <c r="C1857">
        <v>5975553</v>
      </c>
      <c r="D1857">
        <v>21</v>
      </c>
      <c r="E1857" t="s">
        <v>15</v>
      </c>
      <c r="F1857" t="s">
        <v>4797</v>
      </c>
      <c r="G1857">
        <v>5</v>
      </c>
      <c r="H1857" t="s">
        <v>622</v>
      </c>
      <c r="I1857" t="s">
        <v>137</v>
      </c>
      <c r="J1857" t="s">
        <v>623</v>
      </c>
      <c r="K1857" t="s">
        <v>20</v>
      </c>
      <c r="L1857" t="s">
        <v>4798</v>
      </c>
      <c r="M1857" s="3" t="str">
        <f>HYPERLINK("..\..\Imagery\ScannedPhotos\1980\NN80-148.3.jpg")</f>
        <v>..\..\Imagery\ScannedPhotos\1980\NN80-148.3.jpg</v>
      </c>
    </row>
    <row r="1858" spans="1:13" x14ac:dyDescent="0.25">
      <c r="A1858" t="s">
        <v>4799</v>
      </c>
      <c r="B1858">
        <v>377500</v>
      </c>
      <c r="C1858">
        <v>5975777</v>
      </c>
      <c r="D1858">
        <v>21</v>
      </c>
      <c r="E1858" t="s">
        <v>15</v>
      </c>
      <c r="F1858" t="s">
        <v>4800</v>
      </c>
      <c r="G1858">
        <v>1</v>
      </c>
      <c r="H1858" t="s">
        <v>622</v>
      </c>
      <c r="I1858" t="s">
        <v>69</v>
      </c>
      <c r="J1858" t="s">
        <v>623</v>
      </c>
      <c r="K1858" t="s">
        <v>20</v>
      </c>
      <c r="L1858" t="s">
        <v>4798</v>
      </c>
      <c r="M1858" s="3" t="str">
        <f>HYPERLINK("..\..\Imagery\ScannedPhotos\1980\NN80-149.jpg")</f>
        <v>..\..\Imagery\ScannedPhotos\1980\NN80-149.jpg</v>
      </c>
    </row>
    <row r="1859" spans="1:13" x14ac:dyDescent="0.25">
      <c r="A1859" t="s">
        <v>4801</v>
      </c>
      <c r="B1859">
        <v>377431</v>
      </c>
      <c r="C1859">
        <v>5976883</v>
      </c>
      <c r="D1859">
        <v>21</v>
      </c>
      <c r="E1859" t="s">
        <v>15</v>
      </c>
      <c r="F1859" t="s">
        <v>4802</v>
      </c>
      <c r="G1859">
        <v>3</v>
      </c>
      <c r="H1859" t="s">
        <v>622</v>
      </c>
      <c r="I1859" t="s">
        <v>74</v>
      </c>
      <c r="J1859" t="s">
        <v>623</v>
      </c>
      <c r="K1859" t="s">
        <v>20</v>
      </c>
      <c r="L1859" t="s">
        <v>4803</v>
      </c>
      <c r="M1859" s="3" t="str">
        <f>HYPERLINK("..\..\Imagery\ScannedPhotos\1980\NN80-155.1.jpg")</f>
        <v>..\..\Imagery\ScannedPhotos\1980\NN80-155.1.jpg</v>
      </c>
    </row>
    <row r="1860" spans="1:13" x14ac:dyDescent="0.25">
      <c r="A1860" t="s">
        <v>4804</v>
      </c>
      <c r="B1860">
        <v>535160</v>
      </c>
      <c r="C1860">
        <v>5733190</v>
      </c>
      <c r="D1860">
        <v>21</v>
      </c>
      <c r="E1860" t="s">
        <v>15</v>
      </c>
      <c r="F1860" t="s">
        <v>4805</v>
      </c>
      <c r="G1860">
        <v>8</v>
      </c>
      <c r="H1860" t="s">
        <v>2355</v>
      </c>
      <c r="I1860" t="s">
        <v>209</v>
      </c>
      <c r="J1860" t="s">
        <v>886</v>
      </c>
      <c r="K1860" t="s">
        <v>20</v>
      </c>
      <c r="L1860" t="s">
        <v>4806</v>
      </c>
      <c r="M1860" s="3" t="str">
        <f>HYPERLINK("..\..\Imagery\ScannedPhotos\1993\VN93-048.7.jpg")</f>
        <v>..\..\Imagery\ScannedPhotos\1993\VN93-048.7.jpg</v>
      </c>
    </row>
    <row r="1861" spans="1:13" x14ac:dyDescent="0.25">
      <c r="A1861" t="s">
        <v>4807</v>
      </c>
      <c r="B1861">
        <v>586156</v>
      </c>
      <c r="C1861">
        <v>5898242</v>
      </c>
      <c r="D1861">
        <v>21</v>
      </c>
      <c r="E1861" t="s">
        <v>15</v>
      </c>
      <c r="F1861" t="s">
        <v>4808</v>
      </c>
      <c r="G1861">
        <v>2</v>
      </c>
      <c r="H1861" t="s">
        <v>1994</v>
      </c>
      <c r="I1861" t="s">
        <v>375</v>
      </c>
      <c r="J1861" t="s">
        <v>138</v>
      </c>
      <c r="K1861" t="s">
        <v>20</v>
      </c>
      <c r="L1861" t="s">
        <v>4809</v>
      </c>
      <c r="M1861" s="3" t="str">
        <f>HYPERLINK("..\..\Imagery\ScannedPhotos\1985\GM85-584.1.jpg")</f>
        <v>..\..\Imagery\ScannedPhotos\1985\GM85-584.1.jpg</v>
      </c>
    </row>
    <row r="1862" spans="1:13" x14ac:dyDescent="0.25">
      <c r="A1862" t="s">
        <v>4807</v>
      </c>
      <c r="B1862">
        <v>586156</v>
      </c>
      <c r="C1862">
        <v>5898242</v>
      </c>
      <c r="D1862">
        <v>21</v>
      </c>
      <c r="E1862" t="s">
        <v>15</v>
      </c>
      <c r="F1862" t="s">
        <v>4810</v>
      </c>
      <c r="G1862">
        <v>2</v>
      </c>
      <c r="H1862" t="s">
        <v>1994</v>
      </c>
      <c r="I1862" t="s">
        <v>94</v>
      </c>
      <c r="J1862" t="s">
        <v>138</v>
      </c>
      <c r="K1862" t="s">
        <v>20</v>
      </c>
      <c r="L1862" t="s">
        <v>4809</v>
      </c>
      <c r="M1862" s="3" t="str">
        <f>HYPERLINK("..\..\Imagery\ScannedPhotos\1985\GM85-584.2.jpg")</f>
        <v>..\..\Imagery\ScannedPhotos\1985\GM85-584.2.jpg</v>
      </c>
    </row>
    <row r="1863" spans="1:13" x14ac:dyDescent="0.25">
      <c r="A1863" t="s">
        <v>4811</v>
      </c>
      <c r="B1863">
        <v>578129</v>
      </c>
      <c r="C1863">
        <v>5921042</v>
      </c>
      <c r="D1863">
        <v>21</v>
      </c>
      <c r="E1863" t="s">
        <v>15</v>
      </c>
      <c r="F1863" t="s">
        <v>4812</v>
      </c>
      <c r="G1863">
        <v>4</v>
      </c>
      <c r="H1863" t="s">
        <v>1994</v>
      </c>
      <c r="I1863" t="s">
        <v>209</v>
      </c>
      <c r="J1863" t="s">
        <v>138</v>
      </c>
      <c r="K1863" t="s">
        <v>20</v>
      </c>
      <c r="L1863" t="s">
        <v>1020</v>
      </c>
      <c r="M1863" s="3" t="str">
        <f>HYPERLINK("..\..\Imagery\ScannedPhotos\1985\GM85-590.1.jpg")</f>
        <v>..\..\Imagery\ScannedPhotos\1985\GM85-590.1.jpg</v>
      </c>
    </row>
    <row r="1864" spans="1:13" x14ac:dyDescent="0.25">
      <c r="A1864" t="s">
        <v>4813</v>
      </c>
      <c r="B1864">
        <v>476186</v>
      </c>
      <c r="C1864">
        <v>5939795</v>
      </c>
      <c r="D1864">
        <v>21</v>
      </c>
      <c r="E1864" t="s">
        <v>15</v>
      </c>
      <c r="F1864" t="s">
        <v>4814</v>
      </c>
      <c r="G1864">
        <v>3</v>
      </c>
      <c r="H1864" t="s">
        <v>443</v>
      </c>
      <c r="I1864" t="s">
        <v>147</v>
      </c>
      <c r="J1864" t="s">
        <v>48</v>
      </c>
      <c r="K1864" t="s">
        <v>20</v>
      </c>
      <c r="L1864" t="s">
        <v>4815</v>
      </c>
      <c r="M1864" s="3" t="str">
        <f>HYPERLINK("..\..\Imagery\ScannedPhotos\1981\CG81-130.2.jpg")</f>
        <v>..\..\Imagery\ScannedPhotos\1981\CG81-130.2.jpg</v>
      </c>
    </row>
    <row r="1865" spans="1:13" x14ac:dyDescent="0.25">
      <c r="A1865" t="s">
        <v>4813</v>
      </c>
      <c r="B1865">
        <v>476186</v>
      </c>
      <c r="C1865">
        <v>5939795</v>
      </c>
      <c r="D1865">
        <v>21</v>
      </c>
      <c r="E1865" t="s">
        <v>15</v>
      </c>
      <c r="F1865" t="s">
        <v>4816</v>
      </c>
      <c r="G1865">
        <v>3</v>
      </c>
      <c r="H1865" t="s">
        <v>443</v>
      </c>
      <c r="I1865" t="s">
        <v>143</v>
      </c>
      <c r="J1865" t="s">
        <v>48</v>
      </c>
      <c r="K1865" t="s">
        <v>20</v>
      </c>
      <c r="L1865" t="s">
        <v>4817</v>
      </c>
      <c r="M1865" s="3" t="str">
        <f>HYPERLINK("..\..\Imagery\ScannedPhotos\1981\CG81-130.1.jpg")</f>
        <v>..\..\Imagery\ScannedPhotos\1981\CG81-130.1.jpg</v>
      </c>
    </row>
    <row r="1866" spans="1:13" x14ac:dyDescent="0.25">
      <c r="A1866" t="s">
        <v>4818</v>
      </c>
      <c r="B1866">
        <v>479652</v>
      </c>
      <c r="C1866">
        <v>5935611</v>
      </c>
      <c r="D1866">
        <v>21</v>
      </c>
      <c r="E1866" t="s">
        <v>15</v>
      </c>
      <c r="F1866" t="s">
        <v>4819</v>
      </c>
      <c r="G1866">
        <v>3</v>
      </c>
      <c r="H1866" t="s">
        <v>4820</v>
      </c>
      <c r="I1866" t="s">
        <v>209</v>
      </c>
      <c r="J1866" t="s">
        <v>4821</v>
      </c>
      <c r="K1866" t="s">
        <v>56</v>
      </c>
      <c r="L1866" t="s">
        <v>4822</v>
      </c>
      <c r="M1866" s="3" t="str">
        <f>HYPERLINK("..\..\Imagery\ScannedPhotos\1981\CG81-146.3.jpg")</f>
        <v>..\..\Imagery\ScannedPhotos\1981\CG81-146.3.jpg</v>
      </c>
    </row>
    <row r="1867" spans="1:13" x14ac:dyDescent="0.25">
      <c r="A1867" t="s">
        <v>4823</v>
      </c>
      <c r="B1867">
        <v>537528</v>
      </c>
      <c r="C1867">
        <v>5940157</v>
      </c>
      <c r="D1867">
        <v>21</v>
      </c>
      <c r="E1867" t="s">
        <v>15</v>
      </c>
      <c r="F1867" t="s">
        <v>4824</v>
      </c>
      <c r="G1867">
        <v>2</v>
      </c>
      <c r="H1867" t="s">
        <v>817</v>
      </c>
      <c r="I1867" t="s">
        <v>195</v>
      </c>
      <c r="J1867" t="s">
        <v>48</v>
      </c>
      <c r="K1867" t="s">
        <v>56</v>
      </c>
      <c r="L1867" t="s">
        <v>4825</v>
      </c>
      <c r="M1867" s="3" t="str">
        <f>HYPERLINK("..\..\Imagery\ScannedPhotos\1981\VO81-573.2.jpg")</f>
        <v>..\..\Imagery\ScannedPhotos\1981\VO81-573.2.jpg</v>
      </c>
    </row>
    <row r="1868" spans="1:13" x14ac:dyDescent="0.25">
      <c r="A1868" t="s">
        <v>4823</v>
      </c>
      <c r="B1868">
        <v>537528</v>
      </c>
      <c r="C1868">
        <v>5940157</v>
      </c>
      <c r="D1868">
        <v>21</v>
      </c>
      <c r="E1868" t="s">
        <v>15</v>
      </c>
      <c r="F1868" t="s">
        <v>4826</v>
      </c>
      <c r="G1868">
        <v>2</v>
      </c>
      <c r="H1868" t="s">
        <v>817</v>
      </c>
      <c r="I1868" t="s">
        <v>304</v>
      </c>
      <c r="J1868" t="s">
        <v>48</v>
      </c>
      <c r="K1868" t="s">
        <v>56</v>
      </c>
      <c r="L1868" t="s">
        <v>4827</v>
      </c>
      <c r="M1868" s="3" t="str">
        <f>HYPERLINK("..\..\Imagery\ScannedPhotos\1981\VO81-573.1.jpg")</f>
        <v>..\..\Imagery\ScannedPhotos\1981\VO81-573.1.jpg</v>
      </c>
    </row>
    <row r="1869" spans="1:13" x14ac:dyDescent="0.25">
      <c r="A1869" t="s">
        <v>4828</v>
      </c>
      <c r="B1869">
        <v>540394</v>
      </c>
      <c r="C1869">
        <v>5941526</v>
      </c>
      <c r="D1869">
        <v>21</v>
      </c>
      <c r="E1869" t="s">
        <v>15</v>
      </c>
      <c r="F1869" t="s">
        <v>4829</v>
      </c>
      <c r="G1869">
        <v>1</v>
      </c>
      <c r="H1869" t="s">
        <v>817</v>
      </c>
      <c r="I1869" t="s">
        <v>647</v>
      </c>
      <c r="J1869" t="s">
        <v>48</v>
      </c>
      <c r="K1869" t="s">
        <v>20</v>
      </c>
      <c r="L1869" t="s">
        <v>4830</v>
      </c>
      <c r="M1869" s="3" t="str">
        <f>HYPERLINK("..\..\Imagery\ScannedPhotos\1981\VO81-577.jpg")</f>
        <v>..\..\Imagery\ScannedPhotos\1981\VO81-577.jpg</v>
      </c>
    </row>
    <row r="1870" spans="1:13" x14ac:dyDescent="0.25">
      <c r="A1870" t="s">
        <v>4831</v>
      </c>
      <c r="B1870">
        <v>540886</v>
      </c>
      <c r="C1870">
        <v>5941902</v>
      </c>
      <c r="D1870">
        <v>21</v>
      </c>
      <c r="E1870" t="s">
        <v>15</v>
      </c>
      <c r="F1870" t="s">
        <v>4832</v>
      </c>
      <c r="G1870">
        <v>1</v>
      </c>
      <c r="H1870" t="s">
        <v>817</v>
      </c>
      <c r="I1870" t="s">
        <v>114</v>
      </c>
      <c r="J1870" t="s">
        <v>48</v>
      </c>
      <c r="K1870" t="s">
        <v>20</v>
      </c>
      <c r="L1870" t="s">
        <v>4833</v>
      </c>
      <c r="M1870" s="3" t="str">
        <f>HYPERLINK("..\..\Imagery\ScannedPhotos\1981\VO81-578.jpg")</f>
        <v>..\..\Imagery\ScannedPhotos\1981\VO81-578.jpg</v>
      </c>
    </row>
    <row r="1871" spans="1:13" x14ac:dyDescent="0.25">
      <c r="A1871" t="s">
        <v>4834</v>
      </c>
      <c r="B1871">
        <v>489300</v>
      </c>
      <c r="C1871">
        <v>5829425</v>
      </c>
      <c r="D1871">
        <v>21</v>
      </c>
      <c r="E1871" t="s">
        <v>15</v>
      </c>
      <c r="F1871" t="s">
        <v>4835</v>
      </c>
      <c r="G1871">
        <v>2</v>
      </c>
      <c r="H1871" t="s">
        <v>2789</v>
      </c>
      <c r="I1871" t="s">
        <v>69</v>
      </c>
      <c r="J1871" t="s">
        <v>413</v>
      </c>
      <c r="K1871" t="s">
        <v>20</v>
      </c>
      <c r="L1871" t="s">
        <v>4836</v>
      </c>
      <c r="M1871" s="3" t="str">
        <f>HYPERLINK("..\..\Imagery\ScannedPhotos\1991\VN91-124.1.jpg")</f>
        <v>..\..\Imagery\ScannedPhotos\1991\VN91-124.1.jpg</v>
      </c>
    </row>
    <row r="1872" spans="1:13" x14ac:dyDescent="0.25">
      <c r="A1872" t="s">
        <v>4386</v>
      </c>
      <c r="B1872">
        <v>484425</v>
      </c>
      <c r="C1872">
        <v>6033298</v>
      </c>
      <c r="D1872">
        <v>21</v>
      </c>
      <c r="E1872" t="s">
        <v>15</v>
      </c>
      <c r="F1872" t="s">
        <v>4837</v>
      </c>
      <c r="G1872">
        <v>6</v>
      </c>
      <c r="H1872" t="s">
        <v>4136</v>
      </c>
      <c r="I1872" t="s">
        <v>126</v>
      </c>
      <c r="J1872" t="s">
        <v>423</v>
      </c>
      <c r="K1872" t="s">
        <v>20</v>
      </c>
      <c r="L1872" t="s">
        <v>4838</v>
      </c>
      <c r="M1872" s="3" t="str">
        <f>HYPERLINK("..\..\Imagery\ScannedPhotos\1979\CG79-367.5.jpg")</f>
        <v>..\..\Imagery\ScannedPhotos\1979\CG79-367.5.jpg</v>
      </c>
    </row>
    <row r="1873" spans="1:13" x14ac:dyDescent="0.25">
      <c r="A1873" t="s">
        <v>4386</v>
      </c>
      <c r="B1873">
        <v>484425</v>
      </c>
      <c r="C1873">
        <v>6033298</v>
      </c>
      <c r="D1873">
        <v>21</v>
      </c>
      <c r="E1873" t="s">
        <v>15</v>
      </c>
      <c r="F1873" t="s">
        <v>4839</v>
      </c>
      <c r="G1873">
        <v>6</v>
      </c>
      <c r="H1873" t="s">
        <v>4136</v>
      </c>
      <c r="I1873" t="s">
        <v>122</v>
      </c>
      <c r="J1873" t="s">
        <v>423</v>
      </c>
      <c r="K1873" t="s">
        <v>20</v>
      </c>
      <c r="L1873" t="s">
        <v>4840</v>
      </c>
      <c r="M1873" s="3" t="str">
        <f>HYPERLINK("..\..\Imagery\ScannedPhotos\1979\CG79-367.4.jpg")</f>
        <v>..\..\Imagery\ScannedPhotos\1979\CG79-367.4.jpg</v>
      </c>
    </row>
    <row r="1874" spans="1:13" x14ac:dyDescent="0.25">
      <c r="A1874" t="s">
        <v>4386</v>
      </c>
      <c r="B1874">
        <v>484425</v>
      </c>
      <c r="C1874">
        <v>6033298</v>
      </c>
      <c r="D1874">
        <v>21</v>
      </c>
      <c r="E1874" t="s">
        <v>15</v>
      </c>
      <c r="F1874" t="s">
        <v>4841</v>
      </c>
      <c r="G1874">
        <v>6</v>
      </c>
      <c r="H1874" t="s">
        <v>4136</v>
      </c>
      <c r="I1874" t="s">
        <v>119</v>
      </c>
      <c r="J1874" t="s">
        <v>423</v>
      </c>
      <c r="K1874" t="s">
        <v>20</v>
      </c>
      <c r="L1874" t="s">
        <v>4842</v>
      </c>
      <c r="M1874" s="3" t="str">
        <f>HYPERLINK("..\..\Imagery\ScannedPhotos\1979\CG79-367.3.jpg")</f>
        <v>..\..\Imagery\ScannedPhotos\1979\CG79-367.3.jpg</v>
      </c>
    </row>
    <row r="1875" spans="1:13" x14ac:dyDescent="0.25">
      <c r="A1875" t="s">
        <v>4386</v>
      </c>
      <c r="B1875">
        <v>484425</v>
      </c>
      <c r="C1875">
        <v>6033298</v>
      </c>
      <c r="D1875">
        <v>21</v>
      </c>
      <c r="E1875" t="s">
        <v>15</v>
      </c>
      <c r="F1875" t="s">
        <v>4843</v>
      </c>
      <c r="G1875">
        <v>6</v>
      </c>
      <c r="H1875" t="s">
        <v>4136</v>
      </c>
      <c r="I1875" t="s">
        <v>126</v>
      </c>
      <c r="J1875" t="s">
        <v>423</v>
      </c>
      <c r="K1875" t="s">
        <v>20</v>
      </c>
      <c r="L1875" t="s">
        <v>4844</v>
      </c>
      <c r="M1875" s="3" t="str">
        <f>HYPERLINK("..\..\Imagery\ScannedPhotos\1979\CG79-367.6.jpg")</f>
        <v>..\..\Imagery\ScannedPhotos\1979\CG79-367.6.jpg</v>
      </c>
    </row>
    <row r="1876" spans="1:13" x14ac:dyDescent="0.25">
      <c r="A1876" t="s">
        <v>4386</v>
      </c>
      <c r="B1876">
        <v>484425</v>
      </c>
      <c r="C1876">
        <v>6033298</v>
      </c>
      <c r="D1876">
        <v>21</v>
      </c>
      <c r="E1876" t="s">
        <v>15</v>
      </c>
      <c r="F1876" t="s">
        <v>4845</v>
      </c>
      <c r="G1876">
        <v>6</v>
      </c>
      <c r="H1876" t="s">
        <v>4136</v>
      </c>
      <c r="I1876" t="s">
        <v>30</v>
      </c>
      <c r="J1876" t="s">
        <v>423</v>
      </c>
      <c r="K1876" t="s">
        <v>20</v>
      </c>
      <c r="L1876" t="s">
        <v>4846</v>
      </c>
      <c r="M1876" s="3" t="str">
        <f>HYPERLINK("..\..\Imagery\ScannedPhotos\1979\CG79-367.1.jpg")</f>
        <v>..\..\Imagery\ScannedPhotos\1979\CG79-367.1.jpg</v>
      </c>
    </row>
    <row r="1877" spans="1:13" x14ac:dyDescent="0.25">
      <c r="A1877" t="s">
        <v>4847</v>
      </c>
      <c r="B1877">
        <v>476543</v>
      </c>
      <c r="C1877">
        <v>5787665</v>
      </c>
      <c r="D1877">
        <v>21</v>
      </c>
      <c r="E1877" t="s">
        <v>15</v>
      </c>
      <c r="F1877" t="s">
        <v>4848</v>
      </c>
      <c r="G1877">
        <v>2</v>
      </c>
      <c r="H1877" t="s">
        <v>1163</v>
      </c>
      <c r="I1877" t="s">
        <v>209</v>
      </c>
      <c r="J1877" t="s">
        <v>814</v>
      </c>
      <c r="K1877" t="s">
        <v>56</v>
      </c>
      <c r="L1877" t="s">
        <v>4849</v>
      </c>
      <c r="M1877" s="3" t="str">
        <f>HYPERLINK("..\..\Imagery\ScannedPhotos\1992\VN92-137.1.jpg")</f>
        <v>..\..\Imagery\ScannedPhotos\1992\VN92-137.1.jpg</v>
      </c>
    </row>
    <row r="1878" spans="1:13" x14ac:dyDescent="0.25">
      <c r="A1878" t="s">
        <v>4847</v>
      </c>
      <c r="B1878">
        <v>476543</v>
      </c>
      <c r="C1878">
        <v>5787665</v>
      </c>
      <c r="D1878">
        <v>21</v>
      </c>
      <c r="E1878" t="s">
        <v>15</v>
      </c>
      <c r="F1878" t="s">
        <v>4850</v>
      </c>
      <c r="G1878">
        <v>2</v>
      </c>
      <c r="H1878" t="s">
        <v>1163</v>
      </c>
      <c r="I1878" t="s">
        <v>386</v>
      </c>
      <c r="J1878" t="s">
        <v>814</v>
      </c>
      <c r="K1878" t="s">
        <v>20</v>
      </c>
      <c r="L1878" t="s">
        <v>4851</v>
      </c>
      <c r="M1878" s="3" t="str">
        <f>HYPERLINK("..\..\Imagery\ScannedPhotos\1992\VN92-137.2.jpg")</f>
        <v>..\..\Imagery\ScannedPhotos\1992\VN92-137.2.jpg</v>
      </c>
    </row>
    <row r="1879" spans="1:13" x14ac:dyDescent="0.25">
      <c r="A1879" t="s">
        <v>4852</v>
      </c>
      <c r="B1879">
        <v>431776</v>
      </c>
      <c r="C1879">
        <v>6083271</v>
      </c>
      <c r="D1879">
        <v>21</v>
      </c>
      <c r="E1879" t="s">
        <v>15</v>
      </c>
      <c r="F1879" t="s">
        <v>4853</v>
      </c>
      <c r="G1879">
        <v>1</v>
      </c>
      <c r="H1879" t="s">
        <v>1833</v>
      </c>
      <c r="I1879" t="s">
        <v>137</v>
      </c>
      <c r="J1879" t="s">
        <v>610</v>
      </c>
      <c r="K1879" t="s">
        <v>20</v>
      </c>
      <c r="L1879" t="s">
        <v>4854</v>
      </c>
      <c r="M1879" s="3" t="str">
        <f>HYPERLINK("..\..\Imagery\ScannedPhotos\1979\CG79-140.jpg")</f>
        <v>..\..\Imagery\ScannedPhotos\1979\CG79-140.jpg</v>
      </c>
    </row>
    <row r="1880" spans="1:13" x14ac:dyDescent="0.25">
      <c r="A1880" t="s">
        <v>4855</v>
      </c>
      <c r="B1880">
        <v>596406</v>
      </c>
      <c r="C1880">
        <v>5792822</v>
      </c>
      <c r="D1880">
        <v>21</v>
      </c>
      <c r="E1880" t="s">
        <v>15</v>
      </c>
      <c r="F1880" t="s">
        <v>4856</v>
      </c>
      <c r="G1880">
        <v>2</v>
      </c>
      <c r="K1880" t="s">
        <v>109</v>
      </c>
      <c r="L1880" t="s">
        <v>4857</v>
      </c>
      <c r="M1880" s="3" t="str">
        <f>HYPERLINK("..\..\Imagery\ScannedPhotos\2007\CG07-145.2.jpg")</f>
        <v>..\..\Imagery\ScannedPhotos\2007\CG07-145.2.jpg</v>
      </c>
    </row>
    <row r="1881" spans="1:13" x14ac:dyDescent="0.25">
      <c r="A1881" t="s">
        <v>2465</v>
      </c>
      <c r="B1881">
        <v>596420</v>
      </c>
      <c r="C1881">
        <v>5792829</v>
      </c>
      <c r="D1881">
        <v>21</v>
      </c>
      <c r="E1881" t="s">
        <v>15</v>
      </c>
      <c r="F1881" t="s">
        <v>4858</v>
      </c>
      <c r="G1881">
        <v>2</v>
      </c>
      <c r="K1881" t="s">
        <v>20</v>
      </c>
      <c r="L1881" t="s">
        <v>4859</v>
      </c>
      <c r="M1881" s="3" t="str">
        <f>HYPERLINK("..\..\Imagery\ScannedPhotos\2007\CG07-146.1.jpg")</f>
        <v>..\..\Imagery\ScannedPhotos\2007\CG07-146.1.jpg</v>
      </c>
    </row>
    <row r="1882" spans="1:13" x14ac:dyDescent="0.25">
      <c r="A1882" t="s">
        <v>3206</v>
      </c>
      <c r="B1882">
        <v>388687</v>
      </c>
      <c r="C1882">
        <v>5999998</v>
      </c>
      <c r="D1882">
        <v>21</v>
      </c>
      <c r="E1882" t="s">
        <v>15</v>
      </c>
      <c r="F1882" t="s">
        <v>4860</v>
      </c>
      <c r="G1882">
        <v>6</v>
      </c>
      <c r="H1882" t="s">
        <v>651</v>
      </c>
      <c r="I1882" t="s">
        <v>25</v>
      </c>
      <c r="J1882" t="s">
        <v>652</v>
      </c>
      <c r="K1882" t="s">
        <v>20</v>
      </c>
      <c r="L1882" t="s">
        <v>4861</v>
      </c>
      <c r="M1882" s="3" t="str">
        <f>HYPERLINK("..\..\Imagery\ScannedPhotos\1980\NN80-058.5.jpg")</f>
        <v>..\..\Imagery\ScannedPhotos\1980\NN80-058.5.jpg</v>
      </c>
    </row>
    <row r="1883" spans="1:13" x14ac:dyDescent="0.25">
      <c r="A1883" t="s">
        <v>4862</v>
      </c>
      <c r="B1883">
        <v>461683</v>
      </c>
      <c r="C1883">
        <v>5905604</v>
      </c>
      <c r="D1883">
        <v>21</v>
      </c>
      <c r="E1883" t="s">
        <v>15</v>
      </c>
      <c r="F1883" t="s">
        <v>4863</v>
      </c>
      <c r="G1883">
        <v>1</v>
      </c>
      <c r="H1883" t="s">
        <v>2895</v>
      </c>
      <c r="I1883" t="s">
        <v>129</v>
      </c>
      <c r="J1883" t="s">
        <v>2896</v>
      </c>
      <c r="K1883" t="s">
        <v>20</v>
      </c>
      <c r="L1883" t="s">
        <v>4864</v>
      </c>
      <c r="M1883" s="3" t="str">
        <f>HYPERLINK("..\..\Imagery\ScannedPhotos\1984\CG84-420.jpg")</f>
        <v>..\..\Imagery\ScannedPhotos\1984\CG84-420.jpg</v>
      </c>
    </row>
    <row r="1884" spans="1:13" x14ac:dyDescent="0.25">
      <c r="A1884" t="s">
        <v>4865</v>
      </c>
      <c r="B1884">
        <v>506859</v>
      </c>
      <c r="C1884">
        <v>5953950</v>
      </c>
      <c r="D1884">
        <v>21</v>
      </c>
      <c r="E1884" t="s">
        <v>15</v>
      </c>
      <c r="F1884" t="s">
        <v>4866</v>
      </c>
      <c r="G1884">
        <v>3</v>
      </c>
      <c r="H1884" t="s">
        <v>3587</v>
      </c>
      <c r="I1884" t="s">
        <v>41</v>
      </c>
      <c r="J1884" t="s">
        <v>3588</v>
      </c>
      <c r="K1884" t="s">
        <v>56</v>
      </c>
      <c r="L1884" t="s">
        <v>4867</v>
      </c>
      <c r="M1884" s="3" t="str">
        <f>HYPERLINK("..\..\Imagery\ScannedPhotos\1977\MC77-247.3.jpg")</f>
        <v>..\..\Imagery\ScannedPhotos\1977\MC77-247.3.jpg</v>
      </c>
    </row>
    <row r="1885" spans="1:13" x14ac:dyDescent="0.25">
      <c r="A1885" t="s">
        <v>4868</v>
      </c>
      <c r="B1885">
        <v>582425</v>
      </c>
      <c r="C1885">
        <v>5887319</v>
      </c>
      <c r="D1885">
        <v>21</v>
      </c>
      <c r="E1885" t="s">
        <v>15</v>
      </c>
      <c r="F1885" t="s">
        <v>4869</v>
      </c>
      <c r="G1885">
        <v>8</v>
      </c>
      <c r="H1885" t="s">
        <v>4870</v>
      </c>
      <c r="I1885" t="s">
        <v>214</v>
      </c>
      <c r="J1885" t="s">
        <v>138</v>
      </c>
      <c r="K1885" t="s">
        <v>20</v>
      </c>
      <c r="L1885" t="s">
        <v>1584</v>
      </c>
      <c r="M1885" s="3" t="str">
        <f>HYPERLINK("..\..\Imagery\ScannedPhotos\1985\GM85-516.6.jpg")</f>
        <v>..\..\Imagery\ScannedPhotos\1985\GM85-516.6.jpg</v>
      </c>
    </row>
    <row r="1886" spans="1:13" x14ac:dyDescent="0.25">
      <c r="A1886" t="s">
        <v>4868</v>
      </c>
      <c r="B1886">
        <v>582425</v>
      </c>
      <c r="C1886">
        <v>5887319</v>
      </c>
      <c r="D1886">
        <v>21</v>
      </c>
      <c r="E1886" t="s">
        <v>15</v>
      </c>
      <c r="F1886" t="s">
        <v>4871</v>
      </c>
      <c r="G1886">
        <v>8</v>
      </c>
      <c r="H1886" t="s">
        <v>4870</v>
      </c>
      <c r="I1886" t="s">
        <v>386</v>
      </c>
      <c r="J1886" t="s">
        <v>138</v>
      </c>
      <c r="K1886" t="s">
        <v>20</v>
      </c>
      <c r="L1886" t="s">
        <v>4872</v>
      </c>
      <c r="M1886" s="3" t="str">
        <f>HYPERLINK("..\..\Imagery\ScannedPhotos\1985\GM85-516.4.jpg")</f>
        <v>..\..\Imagery\ScannedPhotos\1985\GM85-516.4.jpg</v>
      </c>
    </row>
    <row r="1887" spans="1:13" x14ac:dyDescent="0.25">
      <c r="A1887" t="s">
        <v>4873</v>
      </c>
      <c r="B1887">
        <v>377567</v>
      </c>
      <c r="C1887">
        <v>6089250</v>
      </c>
      <c r="D1887">
        <v>21</v>
      </c>
      <c r="E1887" t="s">
        <v>15</v>
      </c>
      <c r="F1887" t="s">
        <v>4874</v>
      </c>
      <c r="G1887">
        <v>1</v>
      </c>
      <c r="H1887" t="s">
        <v>1623</v>
      </c>
      <c r="I1887" t="s">
        <v>418</v>
      </c>
      <c r="J1887" t="s">
        <v>1624</v>
      </c>
      <c r="K1887" t="s">
        <v>20</v>
      </c>
      <c r="L1887" t="s">
        <v>4875</v>
      </c>
      <c r="M1887" s="3" t="str">
        <f>HYPERLINK("..\..\Imagery\ScannedPhotos\1978\AL78-035.jpg")</f>
        <v>..\..\Imagery\ScannedPhotos\1978\AL78-035.jpg</v>
      </c>
    </row>
    <row r="1888" spans="1:13" x14ac:dyDescent="0.25">
      <c r="A1888" t="s">
        <v>4876</v>
      </c>
      <c r="B1888">
        <v>377101</v>
      </c>
      <c r="C1888">
        <v>6088976</v>
      </c>
      <c r="D1888">
        <v>21</v>
      </c>
      <c r="E1888" t="s">
        <v>15</v>
      </c>
      <c r="F1888" t="s">
        <v>4877</v>
      </c>
      <c r="G1888">
        <v>1</v>
      </c>
      <c r="H1888" t="s">
        <v>1623</v>
      </c>
      <c r="I1888" t="s">
        <v>304</v>
      </c>
      <c r="J1888" t="s">
        <v>1624</v>
      </c>
      <c r="K1888" t="s">
        <v>20</v>
      </c>
      <c r="L1888" t="s">
        <v>4878</v>
      </c>
      <c r="M1888" s="3" t="str">
        <f>HYPERLINK("..\..\Imagery\ScannedPhotos\1978\AL78-036.jpg")</f>
        <v>..\..\Imagery\ScannedPhotos\1978\AL78-036.jpg</v>
      </c>
    </row>
    <row r="1889" spans="1:13" x14ac:dyDescent="0.25">
      <c r="A1889" t="s">
        <v>4879</v>
      </c>
      <c r="B1889">
        <v>454994</v>
      </c>
      <c r="C1889">
        <v>6024953</v>
      </c>
      <c r="D1889">
        <v>21</v>
      </c>
      <c r="E1889" t="s">
        <v>15</v>
      </c>
      <c r="F1889" t="s">
        <v>4880</v>
      </c>
      <c r="G1889">
        <v>4</v>
      </c>
      <c r="H1889" t="s">
        <v>1862</v>
      </c>
      <c r="I1889" t="s">
        <v>375</v>
      </c>
      <c r="J1889" t="s">
        <v>1863</v>
      </c>
      <c r="K1889" t="s">
        <v>20</v>
      </c>
      <c r="L1889" t="s">
        <v>4881</v>
      </c>
      <c r="M1889" s="3" t="str">
        <f>HYPERLINK("..\..\Imagery\ScannedPhotos\1979\CG79-789.3.jpg")</f>
        <v>..\..\Imagery\ScannedPhotos\1979\CG79-789.3.jpg</v>
      </c>
    </row>
    <row r="1890" spans="1:13" x14ac:dyDescent="0.25">
      <c r="A1890" t="s">
        <v>4879</v>
      </c>
      <c r="B1890">
        <v>454994</v>
      </c>
      <c r="C1890">
        <v>6024953</v>
      </c>
      <c r="D1890">
        <v>21</v>
      </c>
      <c r="E1890" t="s">
        <v>15</v>
      </c>
      <c r="F1890" t="s">
        <v>4882</v>
      </c>
      <c r="G1890">
        <v>4</v>
      </c>
      <c r="H1890" t="s">
        <v>1862</v>
      </c>
      <c r="I1890" t="s">
        <v>41</v>
      </c>
      <c r="J1890" t="s">
        <v>1863</v>
      </c>
      <c r="K1890" t="s">
        <v>20</v>
      </c>
      <c r="L1890" t="s">
        <v>4881</v>
      </c>
      <c r="M1890" s="3" t="str">
        <f>HYPERLINK("..\..\Imagery\ScannedPhotos\1979\CG79-789.1.jpg")</f>
        <v>..\..\Imagery\ScannedPhotos\1979\CG79-789.1.jpg</v>
      </c>
    </row>
    <row r="1891" spans="1:13" x14ac:dyDescent="0.25">
      <c r="A1891" t="s">
        <v>4722</v>
      </c>
      <c r="B1891">
        <v>512301</v>
      </c>
      <c r="C1891">
        <v>5953596</v>
      </c>
      <c r="D1891">
        <v>21</v>
      </c>
      <c r="E1891" t="s">
        <v>15</v>
      </c>
      <c r="F1891" t="s">
        <v>4883</v>
      </c>
      <c r="G1891">
        <v>4</v>
      </c>
      <c r="H1891" t="s">
        <v>3158</v>
      </c>
      <c r="I1891" t="s">
        <v>386</v>
      </c>
      <c r="J1891" t="s">
        <v>48</v>
      </c>
      <c r="K1891" t="s">
        <v>20</v>
      </c>
      <c r="L1891" t="s">
        <v>4726</v>
      </c>
      <c r="M1891" s="3" t="str">
        <f>HYPERLINK("..\..\Imagery\ScannedPhotos\1981\VO81-539.3.jpg")</f>
        <v>..\..\Imagery\ScannedPhotos\1981\VO81-539.3.jpg</v>
      </c>
    </row>
    <row r="1892" spans="1:13" x14ac:dyDescent="0.25">
      <c r="A1892" t="s">
        <v>4722</v>
      </c>
      <c r="B1892">
        <v>512301</v>
      </c>
      <c r="C1892">
        <v>5953596</v>
      </c>
      <c r="D1892">
        <v>21</v>
      </c>
      <c r="E1892" t="s">
        <v>15</v>
      </c>
      <c r="F1892" t="s">
        <v>4884</v>
      </c>
      <c r="G1892">
        <v>4</v>
      </c>
      <c r="H1892" t="s">
        <v>3158</v>
      </c>
      <c r="I1892" t="s">
        <v>375</v>
      </c>
      <c r="J1892" t="s">
        <v>48</v>
      </c>
      <c r="K1892" t="s">
        <v>20</v>
      </c>
      <c r="L1892" t="s">
        <v>4726</v>
      </c>
      <c r="M1892" s="3" t="str">
        <f>HYPERLINK("..\..\Imagery\ScannedPhotos\1981\VO81-539.1.jpg")</f>
        <v>..\..\Imagery\ScannedPhotos\1981\VO81-539.1.jpg</v>
      </c>
    </row>
    <row r="1893" spans="1:13" x14ac:dyDescent="0.25">
      <c r="A1893" t="s">
        <v>716</v>
      </c>
      <c r="B1893">
        <v>529652</v>
      </c>
      <c r="C1893">
        <v>5955820</v>
      </c>
      <c r="D1893">
        <v>21</v>
      </c>
      <c r="E1893" t="s">
        <v>15</v>
      </c>
      <c r="F1893" t="s">
        <v>4885</v>
      </c>
      <c r="G1893">
        <v>3</v>
      </c>
      <c r="H1893" t="s">
        <v>718</v>
      </c>
      <c r="I1893" t="s">
        <v>122</v>
      </c>
      <c r="J1893" t="s">
        <v>48</v>
      </c>
      <c r="K1893" t="s">
        <v>20</v>
      </c>
      <c r="L1893" t="s">
        <v>719</v>
      </c>
      <c r="M1893" s="3" t="str">
        <f>HYPERLINK("..\..\Imagery\ScannedPhotos\1981\VO81-131.1.jpg")</f>
        <v>..\..\Imagery\ScannedPhotos\1981\VO81-131.1.jpg</v>
      </c>
    </row>
    <row r="1894" spans="1:13" x14ac:dyDescent="0.25">
      <c r="A1894" t="s">
        <v>4886</v>
      </c>
      <c r="B1894">
        <v>459298</v>
      </c>
      <c r="C1894">
        <v>5905335</v>
      </c>
      <c r="D1894">
        <v>21</v>
      </c>
      <c r="E1894" t="s">
        <v>15</v>
      </c>
      <c r="F1894" t="s">
        <v>4887</v>
      </c>
      <c r="G1894">
        <v>1</v>
      </c>
      <c r="H1894" t="s">
        <v>1409</v>
      </c>
      <c r="I1894" t="s">
        <v>85</v>
      </c>
      <c r="J1894" t="s">
        <v>1410</v>
      </c>
      <c r="K1894" t="s">
        <v>20</v>
      </c>
      <c r="L1894" t="s">
        <v>4888</v>
      </c>
      <c r="M1894" s="3" t="str">
        <f>HYPERLINK("..\..\Imagery\ScannedPhotos\1984\CG84-091.jpg")</f>
        <v>..\..\Imagery\ScannedPhotos\1984\CG84-091.jpg</v>
      </c>
    </row>
    <row r="1895" spans="1:13" x14ac:dyDescent="0.25">
      <c r="A1895" t="s">
        <v>4889</v>
      </c>
      <c r="B1895">
        <v>459163</v>
      </c>
      <c r="C1895">
        <v>5908742</v>
      </c>
      <c r="D1895">
        <v>21</v>
      </c>
      <c r="E1895" t="s">
        <v>15</v>
      </c>
      <c r="F1895" t="s">
        <v>4890</v>
      </c>
      <c r="G1895">
        <v>1</v>
      </c>
      <c r="H1895" t="s">
        <v>1409</v>
      </c>
      <c r="I1895" t="s">
        <v>94</v>
      </c>
      <c r="J1895" t="s">
        <v>1410</v>
      </c>
      <c r="K1895" t="s">
        <v>56</v>
      </c>
      <c r="L1895" t="s">
        <v>4891</v>
      </c>
      <c r="M1895" s="3" t="str">
        <f>HYPERLINK("..\..\Imagery\ScannedPhotos\1984\CG84-100.jpg")</f>
        <v>..\..\Imagery\ScannedPhotos\1984\CG84-100.jpg</v>
      </c>
    </row>
    <row r="1896" spans="1:13" x14ac:dyDescent="0.25">
      <c r="A1896" t="s">
        <v>4892</v>
      </c>
      <c r="B1896">
        <v>591354</v>
      </c>
      <c r="C1896">
        <v>5812073</v>
      </c>
      <c r="D1896">
        <v>21</v>
      </c>
      <c r="E1896" t="s">
        <v>15</v>
      </c>
      <c r="F1896" t="s">
        <v>4893</v>
      </c>
      <c r="G1896">
        <v>1</v>
      </c>
      <c r="H1896" t="s">
        <v>2916</v>
      </c>
      <c r="I1896" t="s">
        <v>222</v>
      </c>
      <c r="J1896" t="s">
        <v>797</v>
      </c>
      <c r="K1896" t="s">
        <v>20</v>
      </c>
      <c r="L1896" t="s">
        <v>4894</v>
      </c>
      <c r="M1896" s="3" t="str">
        <f>HYPERLINK("..\..\Imagery\ScannedPhotos\1987\VN87-285.jpg")</f>
        <v>..\..\Imagery\ScannedPhotos\1987\VN87-285.jpg</v>
      </c>
    </row>
    <row r="1897" spans="1:13" x14ac:dyDescent="0.25">
      <c r="A1897" t="s">
        <v>4895</v>
      </c>
      <c r="B1897">
        <v>591997</v>
      </c>
      <c r="C1897">
        <v>5811761</v>
      </c>
      <c r="D1897">
        <v>21</v>
      </c>
      <c r="E1897" t="s">
        <v>15</v>
      </c>
      <c r="F1897" t="s">
        <v>4896</v>
      </c>
      <c r="G1897">
        <v>1</v>
      </c>
      <c r="H1897" t="s">
        <v>2916</v>
      </c>
      <c r="I1897" t="s">
        <v>418</v>
      </c>
      <c r="J1897" t="s">
        <v>797</v>
      </c>
      <c r="K1897" t="s">
        <v>20</v>
      </c>
      <c r="L1897" t="s">
        <v>4897</v>
      </c>
      <c r="M1897" s="3" t="str">
        <f>HYPERLINK("..\..\Imagery\ScannedPhotos\1987\VN87-286.jpg")</f>
        <v>..\..\Imagery\ScannedPhotos\1987\VN87-286.jpg</v>
      </c>
    </row>
    <row r="1898" spans="1:13" x14ac:dyDescent="0.25">
      <c r="A1898" t="s">
        <v>4898</v>
      </c>
      <c r="B1898">
        <v>567378</v>
      </c>
      <c r="C1898">
        <v>5836461</v>
      </c>
      <c r="D1898">
        <v>21</v>
      </c>
      <c r="E1898" t="s">
        <v>15</v>
      </c>
      <c r="F1898" t="s">
        <v>4899</v>
      </c>
      <c r="G1898">
        <v>3</v>
      </c>
      <c r="K1898" t="s">
        <v>20</v>
      </c>
      <c r="L1898" t="s">
        <v>4900</v>
      </c>
      <c r="M1898" s="3" t="str">
        <f>HYPERLINK("..\..\Imagery\ScannedPhotos\2004\CG04-110.1.jpg")</f>
        <v>..\..\Imagery\ScannedPhotos\2004\CG04-110.1.jpg</v>
      </c>
    </row>
    <row r="1899" spans="1:13" x14ac:dyDescent="0.25">
      <c r="A1899" t="s">
        <v>1612</v>
      </c>
      <c r="B1899">
        <v>462216</v>
      </c>
      <c r="C1899">
        <v>5837217</v>
      </c>
      <c r="D1899">
        <v>21</v>
      </c>
      <c r="E1899" t="s">
        <v>15</v>
      </c>
      <c r="F1899" t="s">
        <v>4901</v>
      </c>
      <c r="G1899">
        <v>8</v>
      </c>
      <c r="H1899" t="s">
        <v>890</v>
      </c>
      <c r="I1899" t="s">
        <v>114</v>
      </c>
      <c r="J1899" t="s">
        <v>891</v>
      </c>
      <c r="K1899" t="s">
        <v>20</v>
      </c>
      <c r="L1899" t="s">
        <v>4902</v>
      </c>
      <c r="M1899" s="3" t="str">
        <f>HYPERLINK("..\..\Imagery\ScannedPhotos\1991\VN91-233.3.jpg")</f>
        <v>..\..\Imagery\ScannedPhotos\1991\VN91-233.3.jpg</v>
      </c>
    </row>
    <row r="1900" spans="1:13" x14ac:dyDescent="0.25">
      <c r="A1900" t="s">
        <v>1612</v>
      </c>
      <c r="B1900">
        <v>462216</v>
      </c>
      <c r="C1900">
        <v>5837217</v>
      </c>
      <c r="D1900">
        <v>21</v>
      </c>
      <c r="E1900" t="s">
        <v>15</v>
      </c>
      <c r="F1900" t="s">
        <v>4903</v>
      </c>
      <c r="G1900">
        <v>8</v>
      </c>
      <c r="H1900" t="s">
        <v>1163</v>
      </c>
      <c r="I1900" t="s">
        <v>79</v>
      </c>
      <c r="J1900" t="s">
        <v>814</v>
      </c>
      <c r="K1900" t="s">
        <v>20</v>
      </c>
      <c r="L1900" t="s">
        <v>4904</v>
      </c>
      <c r="M1900" s="3" t="str">
        <f>HYPERLINK("..\..\Imagery\ScannedPhotos\1991\VN91-233.7.jpg")</f>
        <v>..\..\Imagery\ScannedPhotos\1991\VN91-233.7.jpg</v>
      </c>
    </row>
    <row r="1901" spans="1:13" x14ac:dyDescent="0.25">
      <c r="A1901" t="s">
        <v>4905</v>
      </c>
      <c r="B1901">
        <v>489250</v>
      </c>
      <c r="C1901">
        <v>5934320</v>
      </c>
      <c r="D1901">
        <v>21</v>
      </c>
      <c r="E1901" t="s">
        <v>15</v>
      </c>
      <c r="F1901" t="s">
        <v>4906</v>
      </c>
      <c r="G1901">
        <v>3</v>
      </c>
      <c r="H1901" t="s">
        <v>3982</v>
      </c>
      <c r="I1901" t="s">
        <v>41</v>
      </c>
      <c r="J1901" t="s">
        <v>2247</v>
      </c>
      <c r="K1901" t="s">
        <v>20</v>
      </c>
      <c r="L1901" t="s">
        <v>4907</v>
      </c>
      <c r="M1901" s="3" t="str">
        <f>HYPERLINK("..\..\Imagery\ScannedPhotos\1984\CG84-437.2.jpg")</f>
        <v>..\..\Imagery\ScannedPhotos\1984\CG84-437.2.jpg</v>
      </c>
    </row>
    <row r="1902" spans="1:13" x14ac:dyDescent="0.25">
      <c r="A1902" t="s">
        <v>4908</v>
      </c>
      <c r="B1902">
        <v>448199</v>
      </c>
      <c r="C1902">
        <v>5897356</v>
      </c>
      <c r="D1902">
        <v>21</v>
      </c>
      <c r="E1902" t="s">
        <v>15</v>
      </c>
      <c r="F1902" t="s">
        <v>4909</v>
      </c>
      <c r="G1902">
        <v>3</v>
      </c>
      <c r="H1902" t="s">
        <v>632</v>
      </c>
      <c r="I1902" t="s">
        <v>52</v>
      </c>
      <c r="J1902" t="s">
        <v>633</v>
      </c>
      <c r="K1902" t="s">
        <v>20</v>
      </c>
      <c r="L1902" t="s">
        <v>4910</v>
      </c>
      <c r="M1902" s="3" t="str">
        <f>HYPERLINK("..\..\Imagery\ScannedPhotos\1977\MC77-150.2.jpg")</f>
        <v>..\..\Imagery\ScannedPhotos\1977\MC77-150.2.jpg</v>
      </c>
    </row>
    <row r="1903" spans="1:13" x14ac:dyDescent="0.25">
      <c r="A1903" t="s">
        <v>4911</v>
      </c>
      <c r="B1903">
        <v>491624</v>
      </c>
      <c r="C1903">
        <v>5941982</v>
      </c>
      <c r="D1903">
        <v>21</v>
      </c>
      <c r="E1903" t="s">
        <v>15</v>
      </c>
      <c r="F1903" t="s">
        <v>4912</v>
      </c>
      <c r="G1903">
        <v>1</v>
      </c>
      <c r="H1903" t="s">
        <v>46</v>
      </c>
      <c r="I1903" t="s">
        <v>418</v>
      </c>
      <c r="J1903" t="s">
        <v>48</v>
      </c>
      <c r="K1903" t="s">
        <v>20</v>
      </c>
      <c r="L1903" t="s">
        <v>4913</v>
      </c>
      <c r="M1903" s="3" t="str">
        <f>HYPERLINK("..\..\Imagery\ScannedPhotos\1981\GF81-074.jpg")</f>
        <v>..\..\Imagery\ScannedPhotos\1981\GF81-074.jpg</v>
      </c>
    </row>
    <row r="1904" spans="1:13" x14ac:dyDescent="0.25">
      <c r="A1904" t="s">
        <v>4914</v>
      </c>
      <c r="B1904">
        <v>491446</v>
      </c>
      <c r="C1904">
        <v>5942139</v>
      </c>
      <c r="D1904">
        <v>21</v>
      </c>
      <c r="E1904" t="s">
        <v>15</v>
      </c>
      <c r="F1904" t="s">
        <v>4915</v>
      </c>
      <c r="G1904">
        <v>2</v>
      </c>
      <c r="H1904" t="s">
        <v>46</v>
      </c>
      <c r="I1904" t="s">
        <v>195</v>
      </c>
      <c r="J1904" t="s">
        <v>48</v>
      </c>
      <c r="K1904" t="s">
        <v>20</v>
      </c>
      <c r="L1904" t="s">
        <v>4916</v>
      </c>
      <c r="M1904" s="3" t="str">
        <f>HYPERLINK("..\..\Imagery\ScannedPhotos\1981\GF81-075.2.jpg")</f>
        <v>..\..\Imagery\ScannedPhotos\1981\GF81-075.2.jpg</v>
      </c>
    </row>
    <row r="1905" spans="1:13" x14ac:dyDescent="0.25">
      <c r="A1905" t="s">
        <v>2144</v>
      </c>
      <c r="B1905">
        <v>481662</v>
      </c>
      <c r="C1905">
        <v>5824713</v>
      </c>
      <c r="D1905">
        <v>21</v>
      </c>
      <c r="E1905" t="s">
        <v>15</v>
      </c>
      <c r="F1905" t="s">
        <v>4917</v>
      </c>
      <c r="G1905">
        <v>7</v>
      </c>
      <c r="H1905" t="s">
        <v>40</v>
      </c>
      <c r="I1905" t="s">
        <v>114</v>
      </c>
      <c r="J1905" t="s">
        <v>42</v>
      </c>
      <c r="K1905" t="s">
        <v>20</v>
      </c>
      <c r="L1905" t="s">
        <v>2146</v>
      </c>
      <c r="M1905" s="3" t="str">
        <f>HYPERLINK("..\..\Imagery\ScannedPhotos\1991\DD91-055.7.jpg")</f>
        <v>..\..\Imagery\ScannedPhotos\1991\DD91-055.7.jpg</v>
      </c>
    </row>
    <row r="1906" spans="1:13" x14ac:dyDescent="0.25">
      <c r="A1906" t="s">
        <v>4818</v>
      </c>
      <c r="B1906">
        <v>479652</v>
      </c>
      <c r="C1906">
        <v>5935611</v>
      </c>
      <c r="D1906">
        <v>21</v>
      </c>
      <c r="E1906" t="s">
        <v>15</v>
      </c>
      <c r="F1906" t="s">
        <v>4918</v>
      </c>
      <c r="G1906">
        <v>3</v>
      </c>
      <c r="H1906" t="s">
        <v>4820</v>
      </c>
      <c r="I1906" t="s">
        <v>94</v>
      </c>
      <c r="J1906" t="s">
        <v>4821</v>
      </c>
      <c r="K1906" t="s">
        <v>20</v>
      </c>
      <c r="L1906" t="s">
        <v>4822</v>
      </c>
      <c r="M1906" s="3" t="str">
        <f>HYPERLINK("..\..\Imagery\ScannedPhotos\1981\CG81-146.2.jpg")</f>
        <v>..\..\Imagery\ScannedPhotos\1981\CG81-146.2.jpg</v>
      </c>
    </row>
    <row r="1907" spans="1:13" x14ac:dyDescent="0.25">
      <c r="A1907" t="s">
        <v>4818</v>
      </c>
      <c r="B1907">
        <v>479652</v>
      </c>
      <c r="C1907">
        <v>5935611</v>
      </c>
      <c r="D1907">
        <v>21</v>
      </c>
      <c r="E1907" t="s">
        <v>15</v>
      </c>
      <c r="F1907" t="s">
        <v>4919</v>
      </c>
      <c r="G1907">
        <v>3</v>
      </c>
      <c r="H1907" t="s">
        <v>107</v>
      </c>
      <c r="I1907" t="s">
        <v>79</v>
      </c>
      <c r="J1907" t="s">
        <v>48</v>
      </c>
      <c r="K1907" t="s">
        <v>20</v>
      </c>
      <c r="L1907" t="s">
        <v>4822</v>
      </c>
      <c r="M1907" s="3" t="str">
        <f>HYPERLINK("..\..\Imagery\ScannedPhotos\1981\CG81-146.1.jpg")</f>
        <v>..\..\Imagery\ScannedPhotos\1981\CG81-146.1.jpg</v>
      </c>
    </row>
    <row r="1908" spans="1:13" x14ac:dyDescent="0.25">
      <c r="A1908" t="s">
        <v>3445</v>
      </c>
      <c r="B1908">
        <v>479602</v>
      </c>
      <c r="C1908">
        <v>5935252</v>
      </c>
      <c r="D1908">
        <v>21</v>
      </c>
      <c r="E1908" t="s">
        <v>15</v>
      </c>
      <c r="F1908" t="s">
        <v>4920</v>
      </c>
      <c r="G1908">
        <v>5</v>
      </c>
      <c r="H1908" t="s">
        <v>107</v>
      </c>
      <c r="I1908" t="s">
        <v>137</v>
      </c>
      <c r="J1908" t="s">
        <v>48</v>
      </c>
      <c r="K1908" t="s">
        <v>56</v>
      </c>
      <c r="L1908" t="s">
        <v>2646</v>
      </c>
      <c r="M1908" s="3" t="str">
        <f>HYPERLINK("..\..\Imagery\ScannedPhotos\1981\CG81-148.2.jpg")</f>
        <v>..\..\Imagery\ScannedPhotos\1981\CG81-148.2.jpg</v>
      </c>
    </row>
    <row r="1909" spans="1:13" x14ac:dyDescent="0.25">
      <c r="A1909" t="s">
        <v>3445</v>
      </c>
      <c r="B1909">
        <v>479602</v>
      </c>
      <c r="C1909">
        <v>5935252</v>
      </c>
      <c r="D1909">
        <v>21</v>
      </c>
      <c r="E1909" t="s">
        <v>15</v>
      </c>
      <c r="F1909" t="s">
        <v>4921</v>
      </c>
      <c r="G1909">
        <v>5</v>
      </c>
      <c r="H1909" t="s">
        <v>107</v>
      </c>
      <c r="I1909" t="s">
        <v>281</v>
      </c>
      <c r="J1909" t="s">
        <v>48</v>
      </c>
      <c r="K1909" t="s">
        <v>20</v>
      </c>
      <c r="L1909" t="s">
        <v>2646</v>
      </c>
      <c r="M1909" s="3" t="str">
        <f>HYPERLINK("..\..\Imagery\ScannedPhotos\1981\CG81-148.1.jpg")</f>
        <v>..\..\Imagery\ScannedPhotos\1981\CG81-148.1.jpg</v>
      </c>
    </row>
    <row r="1910" spans="1:13" x14ac:dyDescent="0.25">
      <c r="A1910" t="s">
        <v>3445</v>
      </c>
      <c r="B1910">
        <v>479602</v>
      </c>
      <c r="C1910">
        <v>5935252</v>
      </c>
      <c r="D1910">
        <v>21</v>
      </c>
      <c r="E1910" t="s">
        <v>15</v>
      </c>
      <c r="F1910" t="s">
        <v>4922</v>
      </c>
      <c r="G1910">
        <v>5</v>
      </c>
      <c r="H1910" t="s">
        <v>2645</v>
      </c>
      <c r="I1910" t="s">
        <v>30</v>
      </c>
      <c r="J1910" t="s">
        <v>48</v>
      </c>
      <c r="K1910" t="s">
        <v>20</v>
      </c>
      <c r="L1910" t="s">
        <v>2646</v>
      </c>
      <c r="M1910" s="3" t="str">
        <f>HYPERLINK("..\..\Imagery\ScannedPhotos\1981\CG81-148.3.jpg")</f>
        <v>..\..\Imagery\ScannedPhotos\1981\CG81-148.3.jpg</v>
      </c>
    </row>
    <row r="1911" spans="1:13" x14ac:dyDescent="0.25">
      <c r="A1911" t="s">
        <v>4923</v>
      </c>
      <c r="B1911">
        <v>471478</v>
      </c>
      <c r="C1911">
        <v>5866759</v>
      </c>
      <c r="D1911">
        <v>21</v>
      </c>
      <c r="E1911" t="s">
        <v>15</v>
      </c>
      <c r="F1911" t="s">
        <v>4924</v>
      </c>
      <c r="G1911">
        <v>6</v>
      </c>
      <c r="H1911" t="s">
        <v>1048</v>
      </c>
      <c r="I1911" t="s">
        <v>52</v>
      </c>
      <c r="J1911" t="s">
        <v>1038</v>
      </c>
      <c r="K1911" t="s">
        <v>20</v>
      </c>
      <c r="L1911" t="s">
        <v>858</v>
      </c>
      <c r="M1911" s="3" t="str">
        <f>HYPERLINK("..\..\Imagery\ScannedPhotos\1991\DD91-110.3.jpg")</f>
        <v>..\..\Imagery\ScannedPhotos\1991\DD91-110.3.jpg</v>
      </c>
    </row>
    <row r="1912" spans="1:13" x14ac:dyDescent="0.25">
      <c r="A1912" t="s">
        <v>4925</v>
      </c>
      <c r="B1912">
        <v>464463</v>
      </c>
      <c r="C1912">
        <v>5878790</v>
      </c>
      <c r="D1912">
        <v>21</v>
      </c>
      <c r="E1912" t="s">
        <v>15</v>
      </c>
      <c r="F1912" t="s">
        <v>4926</v>
      </c>
      <c r="G1912">
        <v>1</v>
      </c>
      <c r="H1912" t="s">
        <v>60</v>
      </c>
      <c r="I1912" t="s">
        <v>401</v>
      </c>
      <c r="J1912" t="s">
        <v>61</v>
      </c>
      <c r="K1912" t="s">
        <v>20</v>
      </c>
      <c r="L1912" t="s">
        <v>4927</v>
      </c>
      <c r="M1912" s="3" t="str">
        <f>HYPERLINK("..\..\Imagery\ScannedPhotos\1984\CG84-294.jpg")</f>
        <v>..\..\Imagery\ScannedPhotos\1984\CG84-294.jpg</v>
      </c>
    </row>
    <row r="1913" spans="1:13" x14ac:dyDescent="0.25">
      <c r="A1913" t="s">
        <v>4928</v>
      </c>
      <c r="B1913">
        <v>465783</v>
      </c>
      <c r="C1913">
        <v>5876976</v>
      </c>
      <c r="D1913">
        <v>21</v>
      </c>
      <c r="E1913" t="s">
        <v>15</v>
      </c>
      <c r="F1913" t="s">
        <v>4929</v>
      </c>
      <c r="G1913">
        <v>4</v>
      </c>
      <c r="H1913" t="s">
        <v>2895</v>
      </c>
      <c r="I1913" t="s">
        <v>294</v>
      </c>
      <c r="J1913" t="s">
        <v>2896</v>
      </c>
      <c r="K1913" t="s">
        <v>20</v>
      </c>
      <c r="L1913" t="s">
        <v>4930</v>
      </c>
      <c r="M1913" s="3" t="str">
        <f>HYPERLINK("..\..\Imagery\ScannedPhotos\1984\CG84-300.1.jpg")</f>
        <v>..\..\Imagery\ScannedPhotos\1984\CG84-300.1.jpg</v>
      </c>
    </row>
    <row r="1914" spans="1:13" x14ac:dyDescent="0.25">
      <c r="A1914" t="s">
        <v>4931</v>
      </c>
      <c r="B1914">
        <v>446383</v>
      </c>
      <c r="C1914">
        <v>5910379</v>
      </c>
      <c r="D1914">
        <v>21</v>
      </c>
      <c r="E1914" t="s">
        <v>15</v>
      </c>
      <c r="F1914" t="s">
        <v>4932</v>
      </c>
      <c r="G1914">
        <v>3</v>
      </c>
      <c r="H1914" t="s">
        <v>155</v>
      </c>
      <c r="I1914" t="s">
        <v>375</v>
      </c>
      <c r="J1914" t="s">
        <v>156</v>
      </c>
      <c r="K1914" t="s">
        <v>20</v>
      </c>
      <c r="L1914" t="s">
        <v>4933</v>
      </c>
      <c r="M1914" s="3" t="str">
        <f>HYPERLINK("..\..\Imagery\ScannedPhotos\1984\NN84-104.1.jpg")</f>
        <v>..\..\Imagery\ScannedPhotos\1984\NN84-104.1.jpg</v>
      </c>
    </row>
    <row r="1915" spans="1:13" x14ac:dyDescent="0.25">
      <c r="A1915" t="s">
        <v>4931</v>
      </c>
      <c r="B1915">
        <v>446383</v>
      </c>
      <c r="C1915">
        <v>5910379</v>
      </c>
      <c r="D1915">
        <v>21</v>
      </c>
      <c r="E1915" t="s">
        <v>15</v>
      </c>
      <c r="F1915" t="s">
        <v>4934</v>
      </c>
      <c r="G1915">
        <v>3</v>
      </c>
      <c r="H1915" t="s">
        <v>155</v>
      </c>
      <c r="I1915" t="s">
        <v>209</v>
      </c>
      <c r="J1915" t="s">
        <v>156</v>
      </c>
      <c r="K1915" t="s">
        <v>20</v>
      </c>
      <c r="L1915" t="s">
        <v>4935</v>
      </c>
      <c r="M1915" s="3" t="str">
        <f>HYPERLINK("..\..\Imagery\ScannedPhotos\1984\NN84-104.2.jpg")</f>
        <v>..\..\Imagery\ScannedPhotos\1984\NN84-104.2.jpg</v>
      </c>
    </row>
    <row r="1916" spans="1:13" x14ac:dyDescent="0.25">
      <c r="A1916" t="s">
        <v>4936</v>
      </c>
      <c r="B1916">
        <v>482561</v>
      </c>
      <c r="C1916">
        <v>5832097</v>
      </c>
      <c r="D1916">
        <v>21</v>
      </c>
      <c r="E1916" t="s">
        <v>15</v>
      </c>
      <c r="F1916" t="s">
        <v>4937</v>
      </c>
      <c r="G1916">
        <v>1</v>
      </c>
      <c r="H1916" t="s">
        <v>2789</v>
      </c>
      <c r="I1916" t="s">
        <v>143</v>
      </c>
      <c r="J1916" t="s">
        <v>413</v>
      </c>
      <c r="K1916" t="s">
        <v>20</v>
      </c>
      <c r="L1916" t="s">
        <v>4938</v>
      </c>
      <c r="M1916" s="3" t="str">
        <f>HYPERLINK("..\..\Imagery\ScannedPhotos\1991\VN91-149.jpg")</f>
        <v>..\..\Imagery\ScannedPhotos\1991\VN91-149.jpg</v>
      </c>
    </row>
    <row r="1917" spans="1:13" x14ac:dyDescent="0.25">
      <c r="A1917" t="s">
        <v>4513</v>
      </c>
      <c r="B1917">
        <v>482280</v>
      </c>
      <c r="C1917">
        <v>5831770</v>
      </c>
      <c r="D1917">
        <v>21</v>
      </c>
      <c r="E1917" t="s">
        <v>15</v>
      </c>
      <c r="F1917" t="s">
        <v>4939</v>
      </c>
      <c r="G1917">
        <v>2</v>
      </c>
      <c r="H1917" t="s">
        <v>2789</v>
      </c>
      <c r="I1917" t="s">
        <v>47</v>
      </c>
      <c r="J1917" t="s">
        <v>413</v>
      </c>
      <c r="K1917" t="s">
        <v>56</v>
      </c>
      <c r="L1917" t="s">
        <v>4940</v>
      </c>
      <c r="M1917" s="3" t="str">
        <f>HYPERLINK("..\..\Imagery\ScannedPhotos\1991\VN91-151.2.jpg")</f>
        <v>..\..\Imagery\ScannedPhotos\1991\VN91-151.2.jpg</v>
      </c>
    </row>
    <row r="1918" spans="1:13" x14ac:dyDescent="0.25">
      <c r="A1918" t="s">
        <v>4941</v>
      </c>
      <c r="B1918">
        <v>553934</v>
      </c>
      <c r="C1918">
        <v>5876024</v>
      </c>
      <c r="D1918">
        <v>21</v>
      </c>
      <c r="E1918" t="s">
        <v>15</v>
      </c>
      <c r="F1918" t="s">
        <v>4942</v>
      </c>
      <c r="G1918">
        <v>2</v>
      </c>
      <c r="H1918" t="s">
        <v>3872</v>
      </c>
      <c r="I1918" t="s">
        <v>25</v>
      </c>
      <c r="J1918" t="s">
        <v>1508</v>
      </c>
      <c r="K1918" t="s">
        <v>20</v>
      </c>
      <c r="L1918" t="s">
        <v>4943</v>
      </c>
      <c r="M1918" s="3" t="str">
        <f>HYPERLINK("..\..\Imagery\ScannedPhotos\1985\GM85-361.2.jpg")</f>
        <v>..\..\Imagery\ScannedPhotos\1985\GM85-361.2.jpg</v>
      </c>
    </row>
    <row r="1919" spans="1:13" x14ac:dyDescent="0.25">
      <c r="A1919" t="s">
        <v>2282</v>
      </c>
      <c r="B1919">
        <v>504835</v>
      </c>
      <c r="C1919">
        <v>5970254</v>
      </c>
      <c r="D1919">
        <v>21</v>
      </c>
      <c r="E1919" t="s">
        <v>15</v>
      </c>
      <c r="F1919" t="s">
        <v>4944</v>
      </c>
      <c r="G1919">
        <v>20</v>
      </c>
      <c r="H1919" t="s">
        <v>2284</v>
      </c>
      <c r="I1919" t="s">
        <v>30</v>
      </c>
      <c r="J1919" t="s">
        <v>3136</v>
      </c>
      <c r="K1919" t="s">
        <v>20</v>
      </c>
      <c r="L1919" t="s">
        <v>4945</v>
      </c>
      <c r="M1919" s="3" t="str">
        <f>HYPERLINK("..\..\Imagery\ScannedPhotos\1984\CG84-172.16.jpg")</f>
        <v>..\..\Imagery\ScannedPhotos\1984\CG84-172.16.jpg</v>
      </c>
    </row>
    <row r="1920" spans="1:13" x14ac:dyDescent="0.25">
      <c r="A1920" t="s">
        <v>2282</v>
      </c>
      <c r="B1920">
        <v>504835</v>
      </c>
      <c r="C1920">
        <v>5970254</v>
      </c>
      <c r="D1920">
        <v>21</v>
      </c>
      <c r="E1920" t="s">
        <v>15</v>
      </c>
      <c r="F1920" t="s">
        <v>4946</v>
      </c>
      <c r="G1920">
        <v>20</v>
      </c>
      <c r="H1920" t="s">
        <v>1333</v>
      </c>
      <c r="I1920" t="s">
        <v>143</v>
      </c>
      <c r="J1920" t="s">
        <v>1334</v>
      </c>
      <c r="K1920" t="s">
        <v>20</v>
      </c>
      <c r="L1920" t="s">
        <v>4947</v>
      </c>
      <c r="M1920" s="3" t="str">
        <f>HYPERLINK("..\..\Imagery\ScannedPhotos\1984\CG84-172.6.jpg")</f>
        <v>..\..\Imagery\ScannedPhotos\1984\CG84-172.6.jpg</v>
      </c>
    </row>
    <row r="1921" spans="1:13" x14ac:dyDescent="0.25">
      <c r="A1921" t="s">
        <v>2282</v>
      </c>
      <c r="B1921">
        <v>504835</v>
      </c>
      <c r="C1921">
        <v>5970254</v>
      </c>
      <c r="D1921">
        <v>21</v>
      </c>
      <c r="E1921" t="s">
        <v>15</v>
      </c>
      <c r="F1921" t="s">
        <v>4948</v>
      </c>
      <c r="G1921">
        <v>20</v>
      </c>
      <c r="H1921" t="s">
        <v>2284</v>
      </c>
      <c r="I1921" t="s">
        <v>114</v>
      </c>
      <c r="J1921" t="s">
        <v>3136</v>
      </c>
      <c r="K1921" t="s">
        <v>20</v>
      </c>
      <c r="L1921" t="s">
        <v>4945</v>
      </c>
      <c r="M1921" s="3" t="str">
        <f>HYPERLINK("..\..\Imagery\ScannedPhotos\1984\CG84-172.17.jpg")</f>
        <v>..\..\Imagery\ScannedPhotos\1984\CG84-172.17.jpg</v>
      </c>
    </row>
    <row r="1922" spans="1:13" x14ac:dyDescent="0.25">
      <c r="A1922" t="s">
        <v>2282</v>
      </c>
      <c r="B1922">
        <v>504835</v>
      </c>
      <c r="C1922">
        <v>5970254</v>
      </c>
      <c r="D1922">
        <v>21</v>
      </c>
      <c r="E1922" t="s">
        <v>15</v>
      </c>
      <c r="F1922" t="s">
        <v>4949</v>
      </c>
      <c r="G1922">
        <v>20</v>
      </c>
      <c r="H1922" t="s">
        <v>1333</v>
      </c>
      <c r="I1922" t="s">
        <v>132</v>
      </c>
      <c r="J1922" t="s">
        <v>1334</v>
      </c>
      <c r="K1922" t="s">
        <v>20</v>
      </c>
      <c r="L1922" t="s">
        <v>4950</v>
      </c>
      <c r="M1922" s="3" t="str">
        <f>HYPERLINK("..\..\Imagery\ScannedPhotos\1984\CG84-172.4.jpg")</f>
        <v>..\..\Imagery\ScannedPhotos\1984\CG84-172.4.jpg</v>
      </c>
    </row>
    <row r="1923" spans="1:13" x14ac:dyDescent="0.25">
      <c r="A1923" t="s">
        <v>2282</v>
      </c>
      <c r="B1923">
        <v>504835</v>
      </c>
      <c r="C1923">
        <v>5970254</v>
      </c>
      <c r="D1923">
        <v>21</v>
      </c>
      <c r="E1923" t="s">
        <v>15</v>
      </c>
      <c r="F1923" t="s">
        <v>4951</v>
      </c>
      <c r="G1923">
        <v>20</v>
      </c>
      <c r="H1923" t="s">
        <v>1333</v>
      </c>
      <c r="I1923" t="s">
        <v>147</v>
      </c>
      <c r="J1923" t="s">
        <v>1334</v>
      </c>
      <c r="K1923" t="s">
        <v>20</v>
      </c>
      <c r="L1923" t="s">
        <v>4947</v>
      </c>
      <c r="M1923" s="3" t="str">
        <f>HYPERLINK("..\..\Imagery\ScannedPhotos\1984\CG84-172.7.jpg")</f>
        <v>..\..\Imagery\ScannedPhotos\1984\CG84-172.7.jpg</v>
      </c>
    </row>
    <row r="1924" spans="1:13" x14ac:dyDescent="0.25">
      <c r="A1924" t="s">
        <v>4952</v>
      </c>
      <c r="B1924">
        <v>521321</v>
      </c>
      <c r="C1924">
        <v>5867006</v>
      </c>
      <c r="D1924">
        <v>21</v>
      </c>
      <c r="E1924" t="s">
        <v>15</v>
      </c>
      <c r="F1924" t="s">
        <v>4953</v>
      </c>
      <c r="G1924">
        <v>1</v>
      </c>
      <c r="H1924" t="s">
        <v>656</v>
      </c>
      <c r="I1924" t="s">
        <v>195</v>
      </c>
      <c r="J1924" t="s">
        <v>657</v>
      </c>
      <c r="K1924" t="s">
        <v>20</v>
      </c>
      <c r="L1924" t="s">
        <v>4954</v>
      </c>
      <c r="M1924" s="3" t="str">
        <f>HYPERLINK("..\..\Imagery\ScannedPhotos\1986\CG86-104.jpg")</f>
        <v>..\..\Imagery\ScannedPhotos\1986\CG86-104.jpg</v>
      </c>
    </row>
    <row r="1925" spans="1:13" x14ac:dyDescent="0.25">
      <c r="A1925" t="s">
        <v>4955</v>
      </c>
      <c r="B1925">
        <v>555450</v>
      </c>
      <c r="C1925">
        <v>5824096</v>
      </c>
      <c r="D1925">
        <v>21</v>
      </c>
      <c r="E1925" t="s">
        <v>15</v>
      </c>
      <c r="F1925" t="s">
        <v>4956</v>
      </c>
      <c r="G1925">
        <v>1</v>
      </c>
      <c r="H1925" t="s">
        <v>2018</v>
      </c>
      <c r="I1925" t="s">
        <v>18</v>
      </c>
      <c r="J1925" t="s">
        <v>2019</v>
      </c>
      <c r="K1925" t="s">
        <v>20</v>
      </c>
      <c r="L1925" t="s">
        <v>4957</v>
      </c>
      <c r="M1925" s="3" t="str">
        <f>HYPERLINK("..\..\Imagery\ScannedPhotos\1986\SN86-007.jpg")</f>
        <v>..\..\Imagery\ScannedPhotos\1986\SN86-007.jpg</v>
      </c>
    </row>
    <row r="1926" spans="1:13" x14ac:dyDescent="0.25">
      <c r="A1926" t="s">
        <v>4958</v>
      </c>
      <c r="B1926">
        <v>542274</v>
      </c>
      <c r="C1926">
        <v>5825947</v>
      </c>
      <c r="D1926">
        <v>21</v>
      </c>
      <c r="E1926" t="s">
        <v>15</v>
      </c>
      <c r="F1926" t="s">
        <v>4959</v>
      </c>
      <c r="G1926">
        <v>1</v>
      </c>
      <c r="H1926" t="s">
        <v>2018</v>
      </c>
      <c r="I1926" t="s">
        <v>35</v>
      </c>
      <c r="J1926" t="s">
        <v>2019</v>
      </c>
      <c r="K1926" t="s">
        <v>20</v>
      </c>
      <c r="L1926" t="s">
        <v>4960</v>
      </c>
      <c r="M1926" s="3" t="str">
        <f>HYPERLINK("..\..\Imagery\ScannedPhotos\1986\SN86-008.jpg")</f>
        <v>..\..\Imagery\ScannedPhotos\1986\SN86-008.jpg</v>
      </c>
    </row>
    <row r="1927" spans="1:13" x14ac:dyDescent="0.25">
      <c r="A1927" t="s">
        <v>4961</v>
      </c>
      <c r="B1927">
        <v>524563</v>
      </c>
      <c r="C1927">
        <v>5744807</v>
      </c>
      <c r="D1927">
        <v>21</v>
      </c>
      <c r="E1927" t="s">
        <v>15</v>
      </c>
      <c r="F1927" t="s">
        <v>4962</v>
      </c>
      <c r="G1927">
        <v>2</v>
      </c>
      <c r="H1927" t="s">
        <v>869</v>
      </c>
      <c r="I1927" t="s">
        <v>94</v>
      </c>
      <c r="J1927" t="s">
        <v>870</v>
      </c>
      <c r="K1927" t="s">
        <v>20</v>
      </c>
      <c r="L1927" t="s">
        <v>4963</v>
      </c>
      <c r="M1927" s="3" t="str">
        <f>HYPERLINK("..\..\Imagery\ScannedPhotos\1993\VN93-615.1.jpg")</f>
        <v>..\..\Imagery\ScannedPhotos\1993\VN93-615.1.jpg</v>
      </c>
    </row>
    <row r="1928" spans="1:13" x14ac:dyDescent="0.25">
      <c r="A1928" t="s">
        <v>4961</v>
      </c>
      <c r="B1928">
        <v>524563</v>
      </c>
      <c r="C1928">
        <v>5744807</v>
      </c>
      <c r="D1928">
        <v>21</v>
      </c>
      <c r="E1928" t="s">
        <v>15</v>
      </c>
      <c r="F1928" t="s">
        <v>4964</v>
      </c>
      <c r="G1928">
        <v>2</v>
      </c>
      <c r="H1928" t="s">
        <v>869</v>
      </c>
      <c r="I1928" t="s">
        <v>209</v>
      </c>
      <c r="J1928" t="s">
        <v>870</v>
      </c>
      <c r="K1928" t="s">
        <v>56</v>
      </c>
      <c r="L1928" t="s">
        <v>4965</v>
      </c>
      <c r="M1928" s="3" t="str">
        <f>HYPERLINK("..\..\Imagery\ScannedPhotos\1993\VN93-615.2.jpg")</f>
        <v>..\..\Imagery\ScannedPhotos\1993\VN93-615.2.jpg</v>
      </c>
    </row>
    <row r="1929" spans="1:13" x14ac:dyDescent="0.25">
      <c r="A1929" t="s">
        <v>3134</v>
      </c>
      <c r="B1929">
        <v>481685</v>
      </c>
      <c r="C1929">
        <v>5920666</v>
      </c>
      <c r="D1929">
        <v>21</v>
      </c>
      <c r="E1929" t="s">
        <v>15</v>
      </c>
      <c r="F1929" t="s">
        <v>4966</v>
      </c>
      <c r="G1929">
        <v>23</v>
      </c>
      <c r="H1929" t="s">
        <v>2284</v>
      </c>
      <c r="I1929" t="s">
        <v>94</v>
      </c>
      <c r="J1929" t="s">
        <v>3136</v>
      </c>
      <c r="K1929" t="s">
        <v>535</v>
      </c>
      <c r="L1929" t="s">
        <v>4967</v>
      </c>
      <c r="M1929" s="3" t="str">
        <f>HYPERLINK("..\..\Imagery\ScannedPhotos\2004\CG04-286.21.jpg")</f>
        <v>..\..\Imagery\ScannedPhotos\2004\CG04-286.21.jpg</v>
      </c>
    </row>
    <row r="1930" spans="1:13" x14ac:dyDescent="0.25">
      <c r="A1930" t="s">
        <v>4968</v>
      </c>
      <c r="B1930">
        <v>516237</v>
      </c>
      <c r="C1930">
        <v>5721465</v>
      </c>
      <c r="D1930">
        <v>21</v>
      </c>
      <c r="E1930" t="s">
        <v>15</v>
      </c>
      <c r="F1930" t="s">
        <v>4969</v>
      </c>
      <c r="G1930">
        <v>1</v>
      </c>
      <c r="H1930" t="s">
        <v>2418</v>
      </c>
      <c r="I1930" t="s">
        <v>108</v>
      </c>
      <c r="J1930" t="s">
        <v>570</v>
      </c>
      <c r="K1930" t="s">
        <v>56</v>
      </c>
      <c r="L1930" t="s">
        <v>4970</v>
      </c>
      <c r="M1930" s="3" t="str">
        <f>HYPERLINK("..\..\Imagery\ScannedPhotos\1993\VN93-155.jpg")</f>
        <v>..\..\Imagery\ScannedPhotos\1993\VN93-155.jpg</v>
      </c>
    </row>
    <row r="1931" spans="1:13" x14ac:dyDescent="0.25">
      <c r="A1931" t="s">
        <v>4971</v>
      </c>
      <c r="B1931">
        <v>517474</v>
      </c>
      <c r="C1931">
        <v>5719545</v>
      </c>
      <c r="D1931">
        <v>21</v>
      </c>
      <c r="E1931" t="s">
        <v>15</v>
      </c>
      <c r="F1931" t="s">
        <v>4972</v>
      </c>
      <c r="G1931">
        <v>1</v>
      </c>
      <c r="H1931" t="s">
        <v>2418</v>
      </c>
      <c r="I1931" t="s">
        <v>129</v>
      </c>
      <c r="J1931" t="s">
        <v>570</v>
      </c>
      <c r="K1931" t="s">
        <v>56</v>
      </c>
      <c r="L1931" t="s">
        <v>4973</v>
      </c>
      <c r="M1931" s="3" t="str">
        <f>HYPERLINK("..\..\Imagery\ScannedPhotos\1993\VN93-165.jpg")</f>
        <v>..\..\Imagery\ScannedPhotos\1993\VN93-165.jpg</v>
      </c>
    </row>
    <row r="1932" spans="1:13" x14ac:dyDescent="0.25">
      <c r="A1932" t="s">
        <v>4974</v>
      </c>
      <c r="B1932">
        <v>517910</v>
      </c>
      <c r="C1932">
        <v>5719310</v>
      </c>
      <c r="D1932">
        <v>21</v>
      </c>
      <c r="E1932" t="s">
        <v>15</v>
      </c>
      <c r="F1932" t="s">
        <v>4975</v>
      </c>
      <c r="G1932">
        <v>2</v>
      </c>
      <c r="H1932" t="s">
        <v>2418</v>
      </c>
      <c r="I1932" t="s">
        <v>143</v>
      </c>
      <c r="J1932" t="s">
        <v>570</v>
      </c>
      <c r="K1932" t="s">
        <v>20</v>
      </c>
      <c r="L1932" t="s">
        <v>4976</v>
      </c>
      <c r="M1932" s="3" t="str">
        <f>HYPERLINK("..\..\Imagery\ScannedPhotos\1993\VN93-166.1.jpg")</f>
        <v>..\..\Imagery\ScannedPhotos\1993\VN93-166.1.jpg</v>
      </c>
    </row>
    <row r="1933" spans="1:13" x14ac:dyDescent="0.25">
      <c r="A1933" t="s">
        <v>4974</v>
      </c>
      <c r="B1933">
        <v>517910</v>
      </c>
      <c r="C1933">
        <v>5719310</v>
      </c>
      <c r="D1933">
        <v>21</v>
      </c>
      <c r="E1933" t="s">
        <v>15</v>
      </c>
      <c r="F1933" t="s">
        <v>4977</v>
      </c>
      <c r="G1933">
        <v>2</v>
      </c>
      <c r="H1933" t="s">
        <v>2418</v>
      </c>
      <c r="I1933" t="s">
        <v>147</v>
      </c>
      <c r="J1933" t="s">
        <v>570</v>
      </c>
      <c r="K1933" t="s">
        <v>20</v>
      </c>
      <c r="L1933" t="s">
        <v>4978</v>
      </c>
      <c r="M1933" s="3" t="str">
        <f>HYPERLINK("..\..\Imagery\ScannedPhotos\1993\VN93-166.2.jpg")</f>
        <v>..\..\Imagery\ScannedPhotos\1993\VN93-166.2.jpg</v>
      </c>
    </row>
    <row r="1934" spans="1:13" x14ac:dyDescent="0.25">
      <c r="A1934" t="s">
        <v>4979</v>
      </c>
      <c r="B1934">
        <v>509747</v>
      </c>
      <c r="C1934">
        <v>5710242</v>
      </c>
      <c r="D1934">
        <v>21</v>
      </c>
      <c r="E1934" t="s">
        <v>15</v>
      </c>
      <c r="F1934" t="s">
        <v>4980</v>
      </c>
      <c r="G1934">
        <v>2</v>
      </c>
      <c r="H1934" t="s">
        <v>1338</v>
      </c>
      <c r="I1934" t="s">
        <v>79</v>
      </c>
      <c r="J1934" t="s">
        <v>570</v>
      </c>
      <c r="K1934" t="s">
        <v>20</v>
      </c>
      <c r="L1934" t="s">
        <v>4981</v>
      </c>
      <c r="M1934" s="3" t="str">
        <f>HYPERLINK("..\..\Imagery\ScannedPhotos\1993\VN93-185.1.jpg")</f>
        <v>..\..\Imagery\ScannedPhotos\1993\VN93-185.1.jpg</v>
      </c>
    </row>
    <row r="1935" spans="1:13" x14ac:dyDescent="0.25">
      <c r="A1935" t="s">
        <v>4979</v>
      </c>
      <c r="B1935">
        <v>509747</v>
      </c>
      <c r="C1935">
        <v>5710242</v>
      </c>
      <c r="D1935">
        <v>21</v>
      </c>
      <c r="E1935" t="s">
        <v>15</v>
      </c>
      <c r="F1935" t="s">
        <v>4982</v>
      </c>
      <c r="G1935">
        <v>2</v>
      </c>
      <c r="H1935" t="s">
        <v>1338</v>
      </c>
      <c r="I1935" t="s">
        <v>281</v>
      </c>
      <c r="J1935" t="s">
        <v>570</v>
      </c>
      <c r="K1935" t="s">
        <v>20</v>
      </c>
      <c r="L1935" t="s">
        <v>4981</v>
      </c>
      <c r="M1935" s="3" t="str">
        <f>HYPERLINK("..\..\Imagery\ScannedPhotos\1993\VN93-185.2.jpg")</f>
        <v>..\..\Imagery\ScannedPhotos\1993\VN93-185.2.jpg</v>
      </c>
    </row>
    <row r="1936" spans="1:13" x14ac:dyDescent="0.25">
      <c r="A1936" t="s">
        <v>1422</v>
      </c>
      <c r="B1936">
        <v>393245</v>
      </c>
      <c r="C1936">
        <v>5988458</v>
      </c>
      <c r="D1936">
        <v>21</v>
      </c>
      <c r="E1936" t="s">
        <v>15</v>
      </c>
      <c r="F1936" t="s">
        <v>4983</v>
      </c>
      <c r="G1936">
        <v>6</v>
      </c>
      <c r="H1936" t="s">
        <v>1424</v>
      </c>
      <c r="I1936" t="s">
        <v>281</v>
      </c>
      <c r="J1936" t="s">
        <v>623</v>
      </c>
      <c r="K1936" t="s">
        <v>56</v>
      </c>
      <c r="L1936" t="s">
        <v>4984</v>
      </c>
      <c r="M1936" s="3" t="str">
        <f>HYPERLINK("..\..\Imagery\ScannedPhotos\1980\NN80-123.1.jpg")</f>
        <v>..\..\Imagery\ScannedPhotos\1980\NN80-123.1.jpg</v>
      </c>
    </row>
    <row r="1937" spans="1:13" x14ac:dyDescent="0.25">
      <c r="A1937" t="s">
        <v>4374</v>
      </c>
      <c r="B1937">
        <v>573837</v>
      </c>
      <c r="C1937">
        <v>5876699</v>
      </c>
      <c r="D1937">
        <v>21</v>
      </c>
      <c r="E1937" t="s">
        <v>15</v>
      </c>
      <c r="F1937" t="s">
        <v>4985</v>
      </c>
      <c r="G1937">
        <v>2</v>
      </c>
      <c r="H1937" t="s">
        <v>1507</v>
      </c>
      <c r="I1937" t="s">
        <v>79</v>
      </c>
      <c r="J1937" t="s">
        <v>1508</v>
      </c>
      <c r="K1937" t="s">
        <v>20</v>
      </c>
      <c r="L1937" t="s">
        <v>4376</v>
      </c>
      <c r="M1937" s="3" t="str">
        <f>HYPERLINK("..\..\Imagery\ScannedPhotos\1985\GM85-473.2.jpg")</f>
        <v>..\..\Imagery\ScannedPhotos\1985\GM85-473.2.jpg</v>
      </c>
    </row>
    <row r="1938" spans="1:13" x14ac:dyDescent="0.25">
      <c r="A1938" t="s">
        <v>4986</v>
      </c>
      <c r="B1938">
        <v>572609</v>
      </c>
      <c r="C1938">
        <v>5876860</v>
      </c>
      <c r="D1938">
        <v>21</v>
      </c>
      <c r="E1938" t="s">
        <v>15</v>
      </c>
      <c r="F1938" t="s">
        <v>4987</v>
      </c>
      <c r="G1938">
        <v>3</v>
      </c>
      <c r="H1938" t="s">
        <v>1507</v>
      </c>
      <c r="I1938" t="s">
        <v>137</v>
      </c>
      <c r="J1938" t="s">
        <v>1508</v>
      </c>
      <c r="K1938" t="s">
        <v>20</v>
      </c>
      <c r="L1938" t="s">
        <v>4988</v>
      </c>
      <c r="M1938" s="3" t="str">
        <f>HYPERLINK("..\..\Imagery\ScannedPhotos\1985\GM85-475.1.jpg")</f>
        <v>..\..\Imagery\ScannedPhotos\1985\GM85-475.1.jpg</v>
      </c>
    </row>
    <row r="1939" spans="1:13" x14ac:dyDescent="0.25">
      <c r="A1939" t="s">
        <v>4986</v>
      </c>
      <c r="B1939">
        <v>572609</v>
      </c>
      <c r="C1939">
        <v>5876860</v>
      </c>
      <c r="D1939">
        <v>21</v>
      </c>
      <c r="E1939" t="s">
        <v>15</v>
      </c>
      <c r="F1939" t="s">
        <v>4989</v>
      </c>
      <c r="G1939">
        <v>3</v>
      </c>
      <c r="H1939" t="s">
        <v>1507</v>
      </c>
      <c r="I1939" t="s">
        <v>18</v>
      </c>
      <c r="J1939" t="s">
        <v>1508</v>
      </c>
      <c r="K1939" t="s">
        <v>20</v>
      </c>
      <c r="L1939" t="s">
        <v>4988</v>
      </c>
      <c r="M1939" s="3" t="str">
        <f>HYPERLINK("..\..\Imagery\ScannedPhotos\1985\GM85-475.2.jpg")</f>
        <v>..\..\Imagery\ScannedPhotos\1985\GM85-475.2.jpg</v>
      </c>
    </row>
    <row r="1940" spans="1:13" x14ac:dyDescent="0.25">
      <c r="A1940" t="s">
        <v>4986</v>
      </c>
      <c r="B1940">
        <v>572609</v>
      </c>
      <c r="C1940">
        <v>5876860</v>
      </c>
      <c r="D1940">
        <v>21</v>
      </c>
      <c r="E1940" t="s">
        <v>15</v>
      </c>
      <c r="F1940" t="s">
        <v>4990</v>
      </c>
      <c r="G1940">
        <v>3</v>
      </c>
      <c r="H1940" t="s">
        <v>1507</v>
      </c>
      <c r="I1940" t="s">
        <v>35</v>
      </c>
      <c r="J1940" t="s">
        <v>1508</v>
      </c>
      <c r="K1940" t="s">
        <v>20</v>
      </c>
      <c r="L1940" t="s">
        <v>4988</v>
      </c>
      <c r="M1940" s="3" t="str">
        <f>HYPERLINK("..\..\Imagery\ScannedPhotos\1985\GM85-475.3.jpg")</f>
        <v>..\..\Imagery\ScannedPhotos\1985\GM85-475.3.jpg</v>
      </c>
    </row>
    <row r="1941" spans="1:13" x14ac:dyDescent="0.25">
      <c r="A1941" t="s">
        <v>4991</v>
      </c>
      <c r="B1941">
        <v>341435</v>
      </c>
      <c r="C1941">
        <v>5779621</v>
      </c>
      <c r="D1941">
        <v>21</v>
      </c>
      <c r="E1941" t="s">
        <v>15</v>
      </c>
      <c r="F1941" t="s">
        <v>4992</v>
      </c>
      <c r="G1941">
        <v>2</v>
      </c>
      <c r="H1941" t="s">
        <v>78</v>
      </c>
      <c r="I1941" t="s">
        <v>143</v>
      </c>
      <c r="J1941" t="s">
        <v>80</v>
      </c>
      <c r="K1941" t="s">
        <v>228</v>
      </c>
      <c r="L1941" t="s">
        <v>4993</v>
      </c>
      <c r="M1941" s="3" t="str">
        <f>HYPERLINK("..\..\Imagery\ScannedPhotos\2000\CG00-199.2.jpg")</f>
        <v>..\..\Imagery\ScannedPhotos\2000\CG00-199.2.jpg</v>
      </c>
    </row>
    <row r="1942" spans="1:13" x14ac:dyDescent="0.25">
      <c r="A1942" t="s">
        <v>1184</v>
      </c>
      <c r="B1942">
        <v>498017</v>
      </c>
      <c r="C1942">
        <v>5950628</v>
      </c>
      <c r="D1942">
        <v>21</v>
      </c>
      <c r="E1942" t="s">
        <v>15</v>
      </c>
      <c r="F1942" t="s">
        <v>4994</v>
      </c>
      <c r="G1942">
        <v>26</v>
      </c>
      <c r="H1942" t="s">
        <v>1197</v>
      </c>
      <c r="I1942" t="s">
        <v>195</v>
      </c>
      <c r="J1942" t="s">
        <v>48</v>
      </c>
      <c r="K1942" t="s">
        <v>535</v>
      </c>
      <c r="L1942" t="s">
        <v>4995</v>
      </c>
      <c r="M1942" s="3" t="str">
        <f>HYPERLINK("..\..\Imagery\ScannedPhotos\1981\CG81-001.16.jpg")</f>
        <v>..\..\Imagery\ScannedPhotos\1981\CG81-001.16.jpg</v>
      </c>
    </row>
    <row r="1943" spans="1:13" x14ac:dyDescent="0.25">
      <c r="A1943" t="s">
        <v>4996</v>
      </c>
      <c r="B1943">
        <v>585594</v>
      </c>
      <c r="C1943">
        <v>5813325</v>
      </c>
      <c r="D1943">
        <v>21</v>
      </c>
      <c r="E1943" t="s">
        <v>15</v>
      </c>
      <c r="F1943" t="s">
        <v>4997</v>
      </c>
      <c r="G1943">
        <v>1</v>
      </c>
      <c r="H1943" t="s">
        <v>2106</v>
      </c>
      <c r="I1943" t="s">
        <v>195</v>
      </c>
      <c r="J1943" t="s">
        <v>2107</v>
      </c>
      <c r="K1943" t="s">
        <v>20</v>
      </c>
      <c r="L1943" t="s">
        <v>4998</v>
      </c>
      <c r="M1943" s="3" t="str">
        <f>HYPERLINK("..\..\Imagery\ScannedPhotos\1987\CG87-142.jpg")</f>
        <v>..\..\Imagery\ScannedPhotos\1987\CG87-142.jpg</v>
      </c>
    </row>
    <row r="1944" spans="1:13" x14ac:dyDescent="0.25">
      <c r="A1944" t="s">
        <v>4999</v>
      </c>
      <c r="B1944">
        <v>585200</v>
      </c>
      <c r="C1944">
        <v>5812986</v>
      </c>
      <c r="D1944">
        <v>21</v>
      </c>
      <c r="E1944" t="s">
        <v>15</v>
      </c>
      <c r="F1944" t="s">
        <v>5000</v>
      </c>
      <c r="G1944">
        <v>1</v>
      </c>
      <c r="H1944" t="s">
        <v>2106</v>
      </c>
      <c r="I1944" t="s">
        <v>25</v>
      </c>
      <c r="J1944" t="s">
        <v>2107</v>
      </c>
      <c r="K1944" t="s">
        <v>20</v>
      </c>
      <c r="L1944" t="s">
        <v>5001</v>
      </c>
      <c r="M1944" s="3" t="str">
        <f>HYPERLINK("..\..\Imagery\ScannedPhotos\1987\CG87-143.jpg")</f>
        <v>..\..\Imagery\ScannedPhotos\1987\CG87-143.jpg</v>
      </c>
    </row>
    <row r="1945" spans="1:13" x14ac:dyDescent="0.25">
      <c r="A1945" t="s">
        <v>5002</v>
      </c>
      <c r="B1945">
        <v>584516</v>
      </c>
      <c r="C1945">
        <v>5812738</v>
      </c>
      <c r="D1945">
        <v>21</v>
      </c>
      <c r="E1945" t="s">
        <v>15</v>
      </c>
      <c r="F1945" t="s">
        <v>5003</v>
      </c>
      <c r="G1945">
        <v>2</v>
      </c>
      <c r="H1945" t="s">
        <v>2106</v>
      </c>
      <c r="I1945" t="s">
        <v>647</v>
      </c>
      <c r="J1945" t="s">
        <v>2107</v>
      </c>
      <c r="K1945" t="s">
        <v>20</v>
      </c>
      <c r="L1945" t="s">
        <v>5004</v>
      </c>
      <c r="M1945" s="3" t="str">
        <f>HYPERLINK("..\..\Imagery\ScannedPhotos\1987\CG87-146.1.jpg")</f>
        <v>..\..\Imagery\ScannedPhotos\1987\CG87-146.1.jpg</v>
      </c>
    </row>
    <row r="1946" spans="1:13" x14ac:dyDescent="0.25">
      <c r="A1946" t="s">
        <v>5002</v>
      </c>
      <c r="B1946">
        <v>584516</v>
      </c>
      <c r="C1946">
        <v>5812738</v>
      </c>
      <c r="D1946">
        <v>21</v>
      </c>
      <c r="E1946" t="s">
        <v>15</v>
      </c>
      <c r="F1946" t="s">
        <v>5005</v>
      </c>
      <c r="G1946">
        <v>2</v>
      </c>
      <c r="H1946" t="s">
        <v>2106</v>
      </c>
      <c r="I1946" t="s">
        <v>30</v>
      </c>
      <c r="J1946" t="s">
        <v>2107</v>
      </c>
      <c r="K1946" t="s">
        <v>56</v>
      </c>
      <c r="L1946" t="s">
        <v>5004</v>
      </c>
      <c r="M1946" s="3" t="str">
        <f>HYPERLINK("..\..\Imagery\ScannedPhotos\1987\CG87-146.2.jpg")</f>
        <v>..\..\Imagery\ScannedPhotos\1987\CG87-146.2.jpg</v>
      </c>
    </row>
    <row r="1947" spans="1:13" x14ac:dyDescent="0.25">
      <c r="A1947" t="s">
        <v>5006</v>
      </c>
      <c r="B1947">
        <v>583691</v>
      </c>
      <c r="C1947">
        <v>5812335</v>
      </c>
      <c r="D1947">
        <v>21</v>
      </c>
      <c r="E1947" t="s">
        <v>15</v>
      </c>
      <c r="F1947" t="s">
        <v>5007</v>
      </c>
      <c r="G1947">
        <v>1</v>
      </c>
      <c r="H1947" t="s">
        <v>2106</v>
      </c>
      <c r="I1947" t="s">
        <v>114</v>
      </c>
      <c r="J1947" t="s">
        <v>2107</v>
      </c>
      <c r="K1947" t="s">
        <v>56</v>
      </c>
      <c r="L1947" t="s">
        <v>915</v>
      </c>
      <c r="M1947" s="3" t="str">
        <f>HYPERLINK("..\..\Imagery\ScannedPhotos\1987\CG87-147.jpg")</f>
        <v>..\..\Imagery\ScannedPhotos\1987\CG87-147.jpg</v>
      </c>
    </row>
    <row r="1948" spans="1:13" x14ac:dyDescent="0.25">
      <c r="A1948" t="s">
        <v>5008</v>
      </c>
      <c r="B1948">
        <v>583846</v>
      </c>
      <c r="C1948">
        <v>5812027</v>
      </c>
      <c r="D1948">
        <v>21</v>
      </c>
      <c r="E1948" t="s">
        <v>15</v>
      </c>
      <c r="F1948" t="s">
        <v>5009</v>
      </c>
      <c r="G1948">
        <v>1</v>
      </c>
      <c r="H1948" t="s">
        <v>2106</v>
      </c>
      <c r="I1948" t="s">
        <v>119</v>
      </c>
      <c r="J1948" t="s">
        <v>2107</v>
      </c>
      <c r="K1948" t="s">
        <v>20</v>
      </c>
      <c r="L1948" t="s">
        <v>5010</v>
      </c>
      <c r="M1948" s="3" t="str">
        <f>HYPERLINK("..\..\Imagery\ScannedPhotos\1987\CG87-148.jpg")</f>
        <v>..\..\Imagery\ScannedPhotos\1987\CG87-148.jpg</v>
      </c>
    </row>
    <row r="1949" spans="1:13" x14ac:dyDescent="0.25">
      <c r="A1949" t="s">
        <v>3188</v>
      </c>
      <c r="B1949">
        <v>583868</v>
      </c>
      <c r="C1949">
        <v>5811562</v>
      </c>
      <c r="D1949">
        <v>21</v>
      </c>
      <c r="E1949" t="s">
        <v>15</v>
      </c>
      <c r="F1949" t="s">
        <v>5011</v>
      </c>
      <c r="G1949">
        <v>2</v>
      </c>
      <c r="H1949" t="s">
        <v>2106</v>
      </c>
      <c r="I1949" t="s">
        <v>126</v>
      </c>
      <c r="J1949" t="s">
        <v>2107</v>
      </c>
      <c r="K1949" t="s">
        <v>56</v>
      </c>
      <c r="L1949" t="s">
        <v>3190</v>
      </c>
      <c r="M1949" s="3" t="str">
        <f>HYPERLINK("..\..\Imagery\ScannedPhotos\1987\CG87-150.2.jpg")</f>
        <v>..\..\Imagery\ScannedPhotos\1987\CG87-150.2.jpg</v>
      </c>
    </row>
    <row r="1950" spans="1:13" x14ac:dyDescent="0.25">
      <c r="A1950" t="s">
        <v>2177</v>
      </c>
      <c r="B1950">
        <v>491225</v>
      </c>
      <c r="C1950">
        <v>5844144</v>
      </c>
      <c r="D1950">
        <v>21</v>
      </c>
      <c r="E1950" t="s">
        <v>15</v>
      </c>
      <c r="F1950" t="s">
        <v>5012</v>
      </c>
      <c r="G1950">
        <v>3</v>
      </c>
      <c r="H1950" t="s">
        <v>616</v>
      </c>
      <c r="I1950" t="s">
        <v>122</v>
      </c>
      <c r="J1950" t="s">
        <v>413</v>
      </c>
      <c r="K1950" t="s">
        <v>20</v>
      </c>
      <c r="L1950" t="s">
        <v>116</v>
      </c>
      <c r="M1950" s="3" t="str">
        <f>HYPERLINK("..\..\Imagery\ScannedPhotos\1991\DD91-044.2.jpg")</f>
        <v>..\..\Imagery\ScannedPhotos\1991\DD91-044.2.jpg</v>
      </c>
    </row>
    <row r="1951" spans="1:13" x14ac:dyDescent="0.25">
      <c r="A1951" t="s">
        <v>2177</v>
      </c>
      <c r="B1951">
        <v>491225</v>
      </c>
      <c r="C1951">
        <v>5844144</v>
      </c>
      <c r="D1951">
        <v>21</v>
      </c>
      <c r="E1951" t="s">
        <v>15</v>
      </c>
      <c r="F1951" t="s">
        <v>5013</v>
      </c>
      <c r="G1951">
        <v>3</v>
      </c>
      <c r="H1951" t="s">
        <v>616</v>
      </c>
      <c r="I1951" t="s">
        <v>119</v>
      </c>
      <c r="J1951" t="s">
        <v>413</v>
      </c>
      <c r="K1951" t="s">
        <v>20</v>
      </c>
      <c r="L1951" t="s">
        <v>116</v>
      </c>
      <c r="M1951" s="3" t="str">
        <f>HYPERLINK("..\..\Imagery\ScannedPhotos\1991\DD91-044.1.jpg")</f>
        <v>..\..\Imagery\ScannedPhotos\1991\DD91-044.1.jpg</v>
      </c>
    </row>
    <row r="1952" spans="1:13" x14ac:dyDescent="0.25">
      <c r="A1952" t="s">
        <v>5014</v>
      </c>
      <c r="B1952">
        <v>491188</v>
      </c>
      <c r="C1952">
        <v>5843650</v>
      </c>
      <c r="D1952">
        <v>21</v>
      </c>
      <c r="E1952" t="s">
        <v>15</v>
      </c>
      <c r="F1952" t="s">
        <v>5015</v>
      </c>
      <c r="G1952">
        <v>1</v>
      </c>
      <c r="H1952" t="s">
        <v>616</v>
      </c>
      <c r="I1952" t="s">
        <v>108</v>
      </c>
      <c r="J1952" t="s">
        <v>413</v>
      </c>
      <c r="K1952" t="s">
        <v>20</v>
      </c>
      <c r="L1952" t="s">
        <v>772</v>
      </c>
      <c r="M1952" s="3" t="str">
        <f>HYPERLINK("..\..\Imagery\ScannedPhotos\1991\DD91-045.jpg")</f>
        <v>..\..\Imagery\ScannedPhotos\1991\DD91-045.jpg</v>
      </c>
    </row>
    <row r="1953" spans="1:13" x14ac:dyDescent="0.25">
      <c r="A1953" t="s">
        <v>5016</v>
      </c>
      <c r="B1953">
        <v>435838</v>
      </c>
      <c r="C1953">
        <v>5765040</v>
      </c>
      <c r="D1953">
        <v>21</v>
      </c>
      <c r="E1953" t="s">
        <v>15</v>
      </c>
      <c r="F1953" t="s">
        <v>5017</v>
      </c>
      <c r="G1953">
        <v>1</v>
      </c>
      <c r="H1953" t="s">
        <v>746</v>
      </c>
      <c r="I1953" t="s">
        <v>418</v>
      </c>
      <c r="J1953" t="s">
        <v>747</v>
      </c>
      <c r="K1953" t="s">
        <v>20</v>
      </c>
      <c r="L1953" t="s">
        <v>5018</v>
      </c>
      <c r="M1953" s="3" t="str">
        <f>HYPERLINK("..\..\Imagery\ScannedPhotos\1992\CG92-184.jpg")</f>
        <v>..\..\Imagery\ScannedPhotos\1992\CG92-184.jpg</v>
      </c>
    </row>
    <row r="1954" spans="1:13" x14ac:dyDescent="0.25">
      <c r="A1954" t="s">
        <v>5019</v>
      </c>
      <c r="B1954">
        <v>461891</v>
      </c>
      <c r="C1954">
        <v>5765541</v>
      </c>
      <c r="D1954">
        <v>21</v>
      </c>
      <c r="E1954" t="s">
        <v>15</v>
      </c>
      <c r="F1954" t="s">
        <v>5020</v>
      </c>
      <c r="G1954">
        <v>1</v>
      </c>
      <c r="H1954" t="s">
        <v>746</v>
      </c>
      <c r="I1954" t="s">
        <v>195</v>
      </c>
      <c r="J1954" t="s">
        <v>747</v>
      </c>
      <c r="K1954" t="s">
        <v>20</v>
      </c>
      <c r="L1954" t="s">
        <v>5021</v>
      </c>
      <c r="M1954" s="3" t="str">
        <f>HYPERLINK("..\..\Imagery\ScannedPhotos\1992\CG92-213.jpg")</f>
        <v>..\..\Imagery\ScannedPhotos\1992\CG92-213.jpg</v>
      </c>
    </row>
    <row r="1955" spans="1:13" x14ac:dyDescent="0.25">
      <c r="A1955" t="s">
        <v>5022</v>
      </c>
      <c r="B1955">
        <v>474206</v>
      </c>
      <c r="C1955">
        <v>5762107</v>
      </c>
      <c r="D1955">
        <v>21</v>
      </c>
      <c r="E1955" t="s">
        <v>15</v>
      </c>
      <c r="F1955" t="s">
        <v>5023</v>
      </c>
      <c r="G1955">
        <v>1</v>
      </c>
      <c r="H1955" t="s">
        <v>746</v>
      </c>
      <c r="I1955" t="s">
        <v>360</v>
      </c>
      <c r="J1955" t="s">
        <v>747</v>
      </c>
      <c r="K1955" t="s">
        <v>56</v>
      </c>
      <c r="L1955" t="s">
        <v>5024</v>
      </c>
      <c r="M1955" s="3" t="str">
        <f>HYPERLINK("..\..\Imagery\ScannedPhotos\1992\CG92-226.jpg")</f>
        <v>..\..\Imagery\ScannedPhotos\1992\CG92-226.jpg</v>
      </c>
    </row>
    <row r="1956" spans="1:13" x14ac:dyDescent="0.25">
      <c r="A1956" t="s">
        <v>5025</v>
      </c>
      <c r="B1956">
        <v>469925</v>
      </c>
      <c r="C1956">
        <v>5770700</v>
      </c>
      <c r="D1956">
        <v>21</v>
      </c>
      <c r="E1956" t="s">
        <v>15</v>
      </c>
      <c r="F1956" t="s">
        <v>5026</v>
      </c>
      <c r="G1956">
        <v>1</v>
      </c>
      <c r="H1956" t="s">
        <v>746</v>
      </c>
      <c r="I1956" t="s">
        <v>30</v>
      </c>
      <c r="J1956" t="s">
        <v>747</v>
      </c>
      <c r="K1956" t="s">
        <v>20</v>
      </c>
      <c r="L1956" t="s">
        <v>5027</v>
      </c>
      <c r="M1956" s="3" t="str">
        <f>HYPERLINK("..\..\Imagery\ScannedPhotos\1992\CG92-243.jpg")</f>
        <v>..\..\Imagery\ScannedPhotos\1992\CG92-243.jpg</v>
      </c>
    </row>
    <row r="1957" spans="1:13" x14ac:dyDescent="0.25">
      <c r="A1957" t="s">
        <v>662</v>
      </c>
      <c r="B1957">
        <v>490388</v>
      </c>
      <c r="C1957">
        <v>5936462</v>
      </c>
      <c r="D1957">
        <v>21</v>
      </c>
      <c r="E1957" t="s">
        <v>15</v>
      </c>
      <c r="F1957" t="s">
        <v>5028</v>
      </c>
      <c r="G1957">
        <v>4</v>
      </c>
      <c r="H1957" t="s">
        <v>142</v>
      </c>
      <c r="I1957" t="s">
        <v>209</v>
      </c>
      <c r="J1957" t="s">
        <v>144</v>
      </c>
      <c r="K1957" t="s">
        <v>20</v>
      </c>
      <c r="L1957" t="s">
        <v>5029</v>
      </c>
      <c r="M1957" s="3" t="str">
        <f>HYPERLINK("..\..\Imagery\ScannedPhotos\1977\MC77-010.4.jpg")</f>
        <v>..\..\Imagery\ScannedPhotos\1977\MC77-010.4.jpg</v>
      </c>
    </row>
    <row r="1958" spans="1:13" x14ac:dyDescent="0.25">
      <c r="A1958" t="s">
        <v>5030</v>
      </c>
      <c r="B1958">
        <v>562179</v>
      </c>
      <c r="C1958">
        <v>5848276</v>
      </c>
      <c r="D1958">
        <v>21</v>
      </c>
      <c r="E1958" t="s">
        <v>15</v>
      </c>
      <c r="F1958" t="s">
        <v>5031</v>
      </c>
      <c r="G1958">
        <v>1</v>
      </c>
      <c r="H1958" t="s">
        <v>3162</v>
      </c>
      <c r="I1958" t="s">
        <v>222</v>
      </c>
      <c r="J1958" t="s">
        <v>3163</v>
      </c>
      <c r="K1958" t="s">
        <v>56</v>
      </c>
      <c r="L1958" t="s">
        <v>5032</v>
      </c>
      <c r="M1958" s="3" t="str">
        <f>HYPERLINK("..\..\Imagery\ScannedPhotos\1986\SN86-344.jpg")</f>
        <v>..\..\Imagery\ScannedPhotos\1986\SN86-344.jpg</v>
      </c>
    </row>
    <row r="1959" spans="1:13" x14ac:dyDescent="0.25">
      <c r="A1959" t="s">
        <v>1435</v>
      </c>
      <c r="B1959">
        <v>499342</v>
      </c>
      <c r="C1959">
        <v>5821358</v>
      </c>
      <c r="D1959">
        <v>21</v>
      </c>
      <c r="E1959" t="s">
        <v>15</v>
      </c>
      <c r="F1959" t="s">
        <v>5033</v>
      </c>
      <c r="G1959">
        <v>2</v>
      </c>
      <c r="H1959" t="s">
        <v>792</v>
      </c>
      <c r="I1959" t="s">
        <v>126</v>
      </c>
      <c r="J1959" t="s">
        <v>793</v>
      </c>
      <c r="K1959" t="s">
        <v>56</v>
      </c>
      <c r="L1959" t="s">
        <v>1437</v>
      </c>
      <c r="M1959" s="3" t="str">
        <f>HYPERLINK("..\..\Imagery\ScannedPhotos\1991\VN91-342.2.jpg")</f>
        <v>..\..\Imagery\ScannedPhotos\1991\VN91-342.2.jpg</v>
      </c>
    </row>
    <row r="1960" spans="1:13" x14ac:dyDescent="0.25">
      <c r="A1960" t="s">
        <v>5034</v>
      </c>
      <c r="B1960">
        <v>482836</v>
      </c>
      <c r="C1960">
        <v>5832145</v>
      </c>
      <c r="D1960">
        <v>21</v>
      </c>
      <c r="E1960" t="s">
        <v>15</v>
      </c>
      <c r="F1960" t="s">
        <v>5035</v>
      </c>
      <c r="G1960">
        <v>2</v>
      </c>
      <c r="H1960" t="s">
        <v>2789</v>
      </c>
      <c r="I1960" t="s">
        <v>129</v>
      </c>
      <c r="J1960" t="s">
        <v>413</v>
      </c>
      <c r="K1960" t="s">
        <v>20</v>
      </c>
      <c r="L1960" t="s">
        <v>5036</v>
      </c>
      <c r="M1960" s="3" t="str">
        <f>HYPERLINK("..\..\Imagery\ScannedPhotos\1991\VN91-148.2.jpg")</f>
        <v>..\..\Imagery\ScannedPhotos\1991\VN91-148.2.jpg</v>
      </c>
    </row>
    <row r="1961" spans="1:13" x14ac:dyDescent="0.25">
      <c r="A1961" t="s">
        <v>3134</v>
      </c>
      <c r="B1961">
        <v>481685</v>
      </c>
      <c r="C1961">
        <v>5920666</v>
      </c>
      <c r="D1961">
        <v>21</v>
      </c>
      <c r="E1961" t="s">
        <v>15</v>
      </c>
      <c r="F1961" t="s">
        <v>5037</v>
      </c>
      <c r="G1961">
        <v>23</v>
      </c>
      <c r="H1961" t="s">
        <v>2284</v>
      </c>
      <c r="I1961" t="s">
        <v>85</v>
      </c>
      <c r="J1961" t="s">
        <v>3136</v>
      </c>
      <c r="K1961" t="s">
        <v>535</v>
      </c>
      <c r="L1961" t="s">
        <v>3137</v>
      </c>
      <c r="M1961" s="3" t="str">
        <f>HYPERLINK("..\..\Imagery\ScannedPhotos\2004\CG04-286.19.jpg")</f>
        <v>..\..\Imagery\ScannedPhotos\2004\CG04-286.19.jpg</v>
      </c>
    </row>
    <row r="1962" spans="1:13" x14ac:dyDescent="0.25">
      <c r="A1962" t="s">
        <v>5038</v>
      </c>
      <c r="B1962">
        <v>440204</v>
      </c>
      <c r="C1962">
        <v>6007726</v>
      </c>
      <c r="D1962">
        <v>21</v>
      </c>
      <c r="E1962" t="s">
        <v>15</v>
      </c>
      <c r="F1962" t="s">
        <v>5039</v>
      </c>
      <c r="G1962">
        <v>1</v>
      </c>
      <c r="H1962" t="s">
        <v>93</v>
      </c>
      <c r="I1962" t="s">
        <v>386</v>
      </c>
      <c r="J1962" t="s">
        <v>95</v>
      </c>
      <c r="K1962" t="s">
        <v>20</v>
      </c>
      <c r="L1962" t="s">
        <v>5040</v>
      </c>
      <c r="M1962" s="3" t="str">
        <f>HYPERLINK("..\..\Imagery\ScannedPhotos\1980\CG80-239.jpg")</f>
        <v>..\..\Imagery\ScannedPhotos\1980\CG80-239.jpg</v>
      </c>
    </row>
    <row r="1963" spans="1:13" x14ac:dyDescent="0.25">
      <c r="A1963" t="s">
        <v>5041</v>
      </c>
      <c r="B1963">
        <v>441049</v>
      </c>
      <c r="C1963">
        <v>6007571</v>
      </c>
      <c r="D1963">
        <v>21</v>
      </c>
      <c r="E1963" t="s">
        <v>15</v>
      </c>
      <c r="F1963" t="s">
        <v>5042</v>
      </c>
      <c r="G1963">
        <v>1</v>
      </c>
      <c r="H1963" t="s">
        <v>93</v>
      </c>
      <c r="I1963" t="s">
        <v>217</v>
      </c>
      <c r="J1963" t="s">
        <v>95</v>
      </c>
      <c r="K1963" t="s">
        <v>20</v>
      </c>
      <c r="L1963" t="s">
        <v>5043</v>
      </c>
      <c r="M1963" s="3" t="str">
        <f>HYPERLINK("..\..\Imagery\ScannedPhotos\1980\CG80-241.jpg")</f>
        <v>..\..\Imagery\ScannedPhotos\1980\CG80-241.jpg</v>
      </c>
    </row>
    <row r="1964" spans="1:13" x14ac:dyDescent="0.25">
      <c r="A1964" t="s">
        <v>5044</v>
      </c>
      <c r="B1964">
        <v>441352</v>
      </c>
      <c r="C1964">
        <v>6007459</v>
      </c>
      <c r="D1964">
        <v>21</v>
      </c>
      <c r="E1964" t="s">
        <v>15</v>
      </c>
      <c r="F1964" t="s">
        <v>5045</v>
      </c>
      <c r="G1964">
        <v>2</v>
      </c>
      <c r="H1964" t="s">
        <v>93</v>
      </c>
      <c r="I1964" t="s">
        <v>214</v>
      </c>
      <c r="J1964" t="s">
        <v>95</v>
      </c>
      <c r="K1964" t="s">
        <v>20</v>
      </c>
      <c r="L1964" t="s">
        <v>5046</v>
      </c>
      <c r="M1964" s="3" t="str">
        <f>HYPERLINK("..\..\Imagery\ScannedPhotos\1980\CG80-242.1.jpg")</f>
        <v>..\..\Imagery\ScannedPhotos\1980\CG80-242.1.jpg</v>
      </c>
    </row>
    <row r="1965" spans="1:13" x14ac:dyDescent="0.25">
      <c r="A1965" t="s">
        <v>5044</v>
      </c>
      <c r="B1965">
        <v>441352</v>
      </c>
      <c r="C1965">
        <v>6007459</v>
      </c>
      <c r="D1965">
        <v>21</v>
      </c>
      <c r="E1965" t="s">
        <v>15</v>
      </c>
      <c r="F1965" t="s">
        <v>5047</v>
      </c>
      <c r="G1965">
        <v>2</v>
      </c>
      <c r="H1965" t="s">
        <v>93</v>
      </c>
      <c r="I1965" t="s">
        <v>222</v>
      </c>
      <c r="J1965" t="s">
        <v>95</v>
      </c>
      <c r="K1965" t="s">
        <v>20</v>
      </c>
      <c r="L1965" t="s">
        <v>5048</v>
      </c>
      <c r="M1965" s="3" t="str">
        <f>HYPERLINK("..\..\Imagery\ScannedPhotos\1980\CG80-242.2.jpg")</f>
        <v>..\..\Imagery\ScannedPhotos\1980\CG80-242.2.jpg</v>
      </c>
    </row>
    <row r="1966" spans="1:13" x14ac:dyDescent="0.25">
      <c r="A1966" t="s">
        <v>5049</v>
      </c>
      <c r="B1966">
        <v>441649</v>
      </c>
      <c r="C1966">
        <v>6007403</v>
      </c>
      <c r="D1966">
        <v>21</v>
      </c>
      <c r="E1966" t="s">
        <v>15</v>
      </c>
      <c r="F1966" t="s">
        <v>5050</v>
      </c>
      <c r="G1966">
        <v>3</v>
      </c>
      <c r="H1966" t="s">
        <v>93</v>
      </c>
      <c r="I1966" t="s">
        <v>195</v>
      </c>
      <c r="J1966" t="s">
        <v>95</v>
      </c>
      <c r="K1966" t="s">
        <v>20</v>
      </c>
      <c r="L1966" t="s">
        <v>5051</v>
      </c>
      <c r="M1966" s="3" t="str">
        <f>HYPERLINK("..\..\Imagery\ScannedPhotos\1980\CG80-243.3.jpg")</f>
        <v>..\..\Imagery\ScannedPhotos\1980\CG80-243.3.jpg</v>
      </c>
    </row>
    <row r="1967" spans="1:13" x14ac:dyDescent="0.25">
      <c r="A1967" t="s">
        <v>5049</v>
      </c>
      <c r="B1967">
        <v>441649</v>
      </c>
      <c r="C1967">
        <v>6007403</v>
      </c>
      <c r="D1967">
        <v>21</v>
      </c>
      <c r="E1967" t="s">
        <v>15</v>
      </c>
      <c r="F1967" t="s">
        <v>5052</v>
      </c>
      <c r="G1967">
        <v>3</v>
      </c>
      <c r="H1967" t="s">
        <v>93</v>
      </c>
      <c r="I1967" t="s">
        <v>418</v>
      </c>
      <c r="J1967" t="s">
        <v>95</v>
      </c>
      <c r="K1967" t="s">
        <v>20</v>
      </c>
      <c r="L1967" t="s">
        <v>5048</v>
      </c>
      <c r="M1967" s="3" t="str">
        <f>HYPERLINK("..\..\Imagery\ScannedPhotos\1980\CG80-243.1.jpg")</f>
        <v>..\..\Imagery\ScannedPhotos\1980\CG80-243.1.jpg</v>
      </c>
    </row>
    <row r="1968" spans="1:13" x14ac:dyDescent="0.25">
      <c r="A1968" t="s">
        <v>2798</v>
      </c>
      <c r="B1968">
        <v>491043</v>
      </c>
      <c r="C1968">
        <v>5840624</v>
      </c>
      <c r="D1968">
        <v>21</v>
      </c>
      <c r="E1968" t="s">
        <v>15</v>
      </c>
      <c r="F1968" t="s">
        <v>5053</v>
      </c>
      <c r="G1968">
        <v>3</v>
      </c>
      <c r="H1968" t="s">
        <v>40</v>
      </c>
      <c r="I1968" t="s">
        <v>94</v>
      </c>
      <c r="J1968" t="s">
        <v>42</v>
      </c>
      <c r="K1968" t="s">
        <v>20</v>
      </c>
      <c r="L1968" t="s">
        <v>5054</v>
      </c>
      <c r="M1968" s="3" t="str">
        <f>HYPERLINK("..\..\Imagery\ScannedPhotos\1991\DD91-049.1.jpg")</f>
        <v>..\..\Imagery\ScannedPhotos\1991\DD91-049.1.jpg</v>
      </c>
    </row>
    <row r="1969" spans="1:14" x14ac:dyDescent="0.25">
      <c r="A1969" t="s">
        <v>5055</v>
      </c>
      <c r="B1969">
        <v>449832</v>
      </c>
      <c r="C1969">
        <v>6007837</v>
      </c>
      <c r="D1969">
        <v>21</v>
      </c>
      <c r="E1969" t="s">
        <v>15</v>
      </c>
      <c r="F1969" t="s">
        <v>5056</v>
      </c>
      <c r="G1969">
        <v>1</v>
      </c>
      <c r="H1969" t="s">
        <v>93</v>
      </c>
      <c r="I1969" t="s">
        <v>119</v>
      </c>
      <c r="J1969" t="s">
        <v>95</v>
      </c>
      <c r="K1969" t="s">
        <v>20</v>
      </c>
      <c r="L1969" t="s">
        <v>5057</v>
      </c>
      <c r="M1969" s="3" t="str">
        <f>HYPERLINK("..\..\Imagery\ScannedPhotos\1980\CG80-265.jpg")</f>
        <v>..\..\Imagery\ScannedPhotos\1980\CG80-265.jpg</v>
      </c>
    </row>
    <row r="1970" spans="1:14" x14ac:dyDescent="0.25">
      <c r="A1970" t="s">
        <v>2063</v>
      </c>
      <c r="B1970">
        <v>436923</v>
      </c>
      <c r="C1970">
        <v>5897453</v>
      </c>
      <c r="D1970">
        <v>21</v>
      </c>
      <c r="E1970" t="s">
        <v>15</v>
      </c>
      <c r="F1970" t="s">
        <v>5058</v>
      </c>
      <c r="G1970">
        <v>4</v>
      </c>
      <c r="H1970" t="s">
        <v>2065</v>
      </c>
      <c r="I1970" t="s">
        <v>195</v>
      </c>
      <c r="J1970" t="s">
        <v>156</v>
      </c>
      <c r="K1970" t="s">
        <v>56</v>
      </c>
      <c r="L1970" t="s">
        <v>5059</v>
      </c>
      <c r="M1970" s="3" t="str">
        <f>HYPERLINK("..\..\Imagery\ScannedPhotos\1984\NN84-061.4.jpg")</f>
        <v>..\..\Imagery\ScannedPhotos\1984\NN84-061.4.jpg</v>
      </c>
    </row>
    <row r="1971" spans="1:14" x14ac:dyDescent="0.25">
      <c r="A1971" t="s">
        <v>2063</v>
      </c>
      <c r="B1971">
        <v>436923</v>
      </c>
      <c r="C1971">
        <v>5897453</v>
      </c>
      <c r="D1971">
        <v>21</v>
      </c>
      <c r="E1971" t="s">
        <v>15</v>
      </c>
      <c r="F1971" t="s">
        <v>5060</v>
      </c>
      <c r="G1971">
        <v>4</v>
      </c>
      <c r="H1971" t="s">
        <v>2065</v>
      </c>
      <c r="I1971" t="s">
        <v>222</v>
      </c>
      <c r="J1971" t="s">
        <v>156</v>
      </c>
      <c r="K1971" t="s">
        <v>20</v>
      </c>
      <c r="L1971" t="s">
        <v>5061</v>
      </c>
      <c r="M1971" s="3" t="str">
        <f>HYPERLINK("..\..\Imagery\ScannedPhotos\1984\NN84-061.1.jpg")</f>
        <v>..\..\Imagery\ScannedPhotos\1984\NN84-061.1.jpg</v>
      </c>
    </row>
    <row r="1972" spans="1:14" x14ac:dyDescent="0.25">
      <c r="A1972" t="s">
        <v>2731</v>
      </c>
      <c r="B1972">
        <v>579966</v>
      </c>
      <c r="C1972">
        <v>5850649</v>
      </c>
      <c r="D1972">
        <v>21</v>
      </c>
      <c r="E1972" t="s">
        <v>15</v>
      </c>
      <c r="F1972" t="s">
        <v>5062</v>
      </c>
      <c r="G1972">
        <v>18</v>
      </c>
      <c r="H1972" t="s">
        <v>2484</v>
      </c>
      <c r="I1972" t="s">
        <v>35</v>
      </c>
      <c r="J1972" t="s">
        <v>2485</v>
      </c>
      <c r="K1972" t="s">
        <v>20</v>
      </c>
      <c r="L1972" t="s">
        <v>2738</v>
      </c>
      <c r="M1972" s="3" t="str">
        <f>HYPERLINK("..\..\Imagery\ScannedPhotos\1986\CG86-528.5.jpg")</f>
        <v>..\..\Imagery\ScannedPhotos\1986\CG86-528.5.jpg</v>
      </c>
    </row>
    <row r="1973" spans="1:14" x14ac:dyDescent="0.25">
      <c r="A1973" t="s">
        <v>2731</v>
      </c>
      <c r="B1973">
        <v>579966</v>
      </c>
      <c r="C1973">
        <v>5850649</v>
      </c>
      <c r="D1973">
        <v>21</v>
      </c>
      <c r="E1973" t="s">
        <v>15</v>
      </c>
      <c r="F1973" t="s">
        <v>5063</v>
      </c>
      <c r="G1973">
        <v>18</v>
      </c>
      <c r="H1973" t="s">
        <v>2733</v>
      </c>
      <c r="I1973" t="s">
        <v>214</v>
      </c>
      <c r="J1973" t="s">
        <v>814</v>
      </c>
      <c r="K1973" t="s">
        <v>20</v>
      </c>
      <c r="L1973" t="s">
        <v>5064</v>
      </c>
      <c r="M1973" s="3" t="str">
        <f>HYPERLINK("..\..\Imagery\ScannedPhotos\1986\CG86-528.18.jpg")</f>
        <v>..\..\Imagery\ScannedPhotos\1986\CG86-528.18.jpg</v>
      </c>
    </row>
    <row r="1974" spans="1:14" x14ac:dyDescent="0.25">
      <c r="A1974" t="s">
        <v>2731</v>
      </c>
      <c r="B1974">
        <v>579966</v>
      </c>
      <c r="C1974">
        <v>5850649</v>
      </c>
      <c r="D1974">
        <v>21</v>
      </c>
      <c r="E1974" t="s">
        <v>15</v>
      </c>
      <c r="F1974" t="s">
        <v>5065</v>
      </c>
      <c r="G1974">
        <v>18</v>
      </c>
      <c r="H1974" t="s">
        <v>2484</v>
      </c>
      <c r="I1974" t="s">
        <v>18</v>
      </c>
      <c r="J1974" t="s">
        <v>2485</v>
      </c>
      <c r="K1974" t="s">
        <v>20</v>
      </c>
      <c r="L1974" t="s">
        <v>2738</v>
      </c>
      <c r="M1974" s="3" t="str">
        <f>HYPERLINK("..\..\Imagery\ScannedPhotos\1986\CG86-528.4.jpg")</f>
        <v>..\..\Imagery\ScannedPhotos\1986\CG86-528.4.jpg</v>
      </c>
    </row>
    <row r="1975" spans="1:14" x14ac:dyDescent="0.25">
      <c r="A1975" t="s">
        <v>5066</v>
      </c>
      <c r="B1975">
        <v>494047</v>
      </c>
      <c r="C1975">
        <v>5820005</v>
      </c>
      <c r="D1975">
        <v>21</v>
      </c>
      <c r="E1975" t="s">
        <v>15</v>
      </c>
      <c r="F1975" t="s">
        <v>5067</v>
      </c>
      <c r="G1975">
        <v>4</v>
      </c>
      <c r="H1975" t="s">
        <v>792</v>
      </c>
      <c r="I1975" t="s">
        <v>418</v>
      </c>
      <c r="J1975" t="s">
        <v>793</v>
      </c>
      <c r="K1975" t="s">
        <v>20</v>
      </c>
      <c r="L1975" t="s">
        <v>5068</v>
      </c>
      <c r="M1975" s="3" t="str">
        <f>HYPERLINK("..\..\Imagery\ScannedPhotos\1991\VN91-302.2.jpg")</f>
        <v>..\..\Imagery\ScannedPhotos\1991\VN91-302.2.jpg</v>
      </c>
    </row>
    <row r="1976" spans="1:14" x14ac:dyDescent="0.25">
      <c r="A1976" t="s">
        <v>5066</v>
      </c>
      <c r="B1976">
        <v>494047</v>
      </c>
      <c r="C1976">
        <v>5820005</v>
      </c>
      <c r="D1976">
        <v>21</v>
      </c>
      <c r="E1976" t="s">
        <v>15</v>
      </c>
      <c r="F1976" t="s">
        <v>5069</v>
      </c>
      <c r="G1976">
        <v>4</v>
      </c>
      <c r="H1976" t="s">
        <v>792</v>
      </c>
      <c r="I1976" t="s">
        <v>304</v>
      </c>
      <c r="J1976" t="s">
        <v>793</v>
      </c>
      <c r="K1976" t="s">
        <v>20</v>
      </c>
      <c r="L1976" t="s">
        <v>5070</v>
      </c>
      <c r="M1976" s="3" t="str">
        <f>HYPERLINK("..\..\Imagery\ScannedPhotos\1991\VN91-302.3.jpg")</f>
        <v>..\..\Imagery\ScannedPhotos\1991\VN91-302.3.jpg</v>
      </c>
    </row>
    <row r="1977" spans="1:14" x14ac:dyDescent="0.25">
      <c r="A1977" t="s">
        <v>5066</v>
      </c>
      <c r="B1977">
        <v>494047</v>
      </c>
      <c r="C1977">
        <v>5820005</v>
      </c>
      <c r="D1977">
        <v>21</v>
      </c>
      <c r="E1977" t="s">
        <v>15</v>
      </c>
      <c r="F1977" t="s">
        <v>5071</v>
      </c>
      <c r="G1977">
        <v>4</v>
      </c>
      <c r="H1977" t="s">
        <v>792</v>
      </c>
      <c r="I1977" t="s">
        <v>195</v>
      </c>
      <c r="J1977" t="s">
        <v>793</v>
      </c>
      <c r="K1977" t="s">
        <v>20</v>
      </c>
      <c r="L1977" t="s">
        <v>5070</v>
      </c>
      <c r="M1977" s="3" t="str">
        <f>HYPERLINK("..\..\Imagery\ScannedPhotos\1991\VN91-302.4.jpg")</f>
        <v>..\..\Imagery\ScannedPhotos\1991\VN91-302.4.jpg</v>
      </c>
    </row>
    <row r="1978" spans="1:14" x14ac:dyDescent="0.25">
      <c r="A1978" t="s">
        <v>5066</v>
      </c>
      <c r="B1978">
        <v>494047</v>
      </c>
      <c r="C1978">
        <v>5820005</v>
      </c>
      <c r="D1978">
        <v>21</v>
      </c>
      <c r="E1978" t="s">
        <v>15</v>
      </c>
      <c r="F1978" t="s">
        <v>5072</v>
      </c>
      <c r="G1978">
        <v>4</v>
      </c>
      <c r="H1978" t="s">
        <v>792</v>
      </c>
      <c r="I1978" t="s">
        <v>214</v>
      </c>
      <c r="J1978" t="s">
        <v>793</v>
      </c>
      <c r="K1978" t="s">
        <v>20</v>
      </c>
      <c r="L1978" t="s">
        <v>5073</v>
      </c>
      <c r="M1978" s="3" t="str">
        <f>HYPERLINK("..\..\Imagery\ScannedPhotos\1991\VN91-302.1.jpg")</f>
        <v>..\..\Imagery\ScannedPhotos\1991\VN91-302.1.jpg</v>
      </c>
    </row>
    <row r="1979" spans="1:14" x14ac:dyDescent="0.25">
      <c r="A1979" t="s">
        <v>1350</v>
      </c>
      <c r="B1979">
        <v>470069</v>
      </c>
      <c r="C1979">
        <v>5911564</v>
      </c>
      <c r="D1979">
        <v>21</v>
      </c>
      <c r="E1979" t="s">
        <v>15</v>
      </c>
      <c r="F1979" t="s">
        <v>5074</v>
      </c>
      <c r="G1979">
        <v>6</v>
      </c>
      <c r="K1979" t="s">
        <v>20</v>
      </c>
      <c r="L1979" t="s">
        <v>965</v>
      </c>
      <c r="M1979" s="3" t="str">
        <f>HYPERLINK("..\..\Imagery\ScannedPhotos\2004\CG04-210.2.jpg")</f>
        <v>..\..\Imagery\ScannedPhotos\2004\CG04-210.2.jpg</v>
      </c>
    </row>
    <row r="1980" spans="1:14" x14ac:dyDescent="0.25">
      <c r="A1980" t="s">
        <v>5075</v>
      </c>
      <c r="B1980">
        <v>487325</v>
      </c>
      <c r="C1980">
        <v>5828150</v>
      </c>
      <c r="D1980">
        <v>21</v>
      </c>
      <c r="E1980" t="s">
        <v>15</v>
      </c>
      <c r="F1980" t="s">
        <v>5076</v>
      </c>
      <c r="G1980">
        <v>2</v>
      </c>
      <c r="H1980" t="s">
        <v>2789</v>
      </c>
      <c r="I1980" t="s">
        <v>375</v>
      </c>
      <c r="J1980" t="s">
        <v>413</v>
      </c>
      <c r="K1980" t="s">
        <v>56</v>
      </c>
      <c r="L1980" t="s">
        <v>5077</v>
      </c>
      <c r="M1980" s="3" t="str">
        <f>HYPERLINK("..\..\Imagery\ScannedPhotos\1991\VN91-131.1.jpg")</f>
        <v>..\..\Imagery\ScannedPhotos\1991\VN91-131.1.jpg</v>
      </c>
    </row>
    <row r="1981" spans="1:14" x14ac:dyDescent="0.25">
      <c r="A1981" t="s">
        <v>5078</v>
      </c>
      <c r="B1981">
        <v>486317</v>
      </c>
      <c r="C1981">
        <v>5826987</v>
      </c>
      <c r="D1981">
        <v>21</v>
      </c>
      <c r="E1981" t="s">
        <v>15</v>
      </c>
      <c r="F1981" t="s">
        <v>5079</v>
      </c>
      <c r="G1981">
        <v>2</v>
      </c>
      <c r="H1981" t="s">
        <v>2789</v>
      </c>
      <c r="I1981" t="s">
        <v>386</v>
      </c>
      <c r="J1981" t="s">
        <v>413</v>
      </c>
      <c r="K1981" t="s">
        <v>56</v>
      </c>
      <c r="L1981" t="s">
        <v>5080</v>
      </c>
      <c r="M1981" s="3" t="str">
        <f>HYPERLINK("..\..\Imagery\ScannedPhotos\1991\VN91-134.2.jpg")</f>
        <v>..\..\Imagery\ScannedPhotos\1991\VN91-134.2.jpg</v>
      </c>
    </row>
    <row r="1982" spans="1:14" x14ac:dyDescent="0.25">
      <c r="A1982" t="s">
        <v>5081</v>
      </c>
      <c r="B1982">
        <v>561179</v>
      </c>
      <c r="C1982">
        <v>5750277</v>
      </c>
      <c r="D1982">
        <v>21</v>
      </c>
      <c r="E1982" t="s">
        <v>15</v>
      </c>
      <c r="F1982" t="s">
        <v>5082</v>
      </c>
      <c r="G1982">
        <v>1</v>
      </c>
      <c r="H1982" t="s">
        <v>4315</v>
      </c>
      <c r="I1982" t="s">
        <v>386</v>
      </c>
      <c r="J1982" t="s">
        <v>996</v>
      </c>
      <c r="K1982" t="s">
        <v>228</v>
      </c>
      <c r="L1982" t="s">
        <v>5083</v>
      </c>
      <c r="M1982" s="3" t="str">
        <f>HYPERLINK("..\..\Imagery\ScannedPhotos\1993\GK93-016EE.jpg")</f>
        <v>..\..\Imagery\ScannedPhotos\1993\GK93-016EE.jpg</v>
      </c>
      <c r="N1982" t="s">
        <v>1808</v>
      </c>
    </row>
    <row r="1983" spans="1:14" x14ac:dyDescent="0.25">
      <c r="A1983" t="s">
        <v>5084</v>
      </c>
      <c r="B1983">
        <v>502588</v>
      </c>
      <c r="C1983">
        <v>5901363</v>
      </c>
      <c r="D1983">
        <v>21</v>
      </c>
      <c r="E1983" t="s">
        <v>15</v>
      </c>
      <c r="F1983" t="s">
        <v>5085</v>
      </c>
      <c r="G1983">
        <v>2</v>
      </c>
      <c r="H1983" t="s">
        <v>3872</v>
      </c>
      <c r="I1983" t="s">
        <v>79</v>
      </c>
      <c r="J1983" t="s">
        <v>1508</v>
      </c>
      <c r="K1983" t="s">
        <v>20</v>
      </c>
      <c r="L1983" t="s">
        <v>5086</v>
      </c>
      <c r="M1983" s="3" t="str">
        <f>HYPERLINK("..\..\Imagery\ScannedPhotos\1985\GM85-104.1.jpg")</f>
        <v>..\..\Imagery\ScannedPhotos\1985\GM85-104.1.jpg</v>
      </c>
    </row>
    <row r="1984" spans="1:14" x14ac:dyDescent="0.25">
      <c r="A1984" t="s">
        <v>5084</v>
      </c>
      <c r="B1984">
        <v>502588</v>
      </c>
      <c r="C1984">
        <v>5901363</v>
      </c>
      <c r="D1984">
        <v>21</v>
      </c>
      <c r="E1984" t="s">
        <v>15</v>
      </c>
      <c r="F1984" t="s">
        <v>5087</v>
      </c>
      <c r="G1984">
        <v>2</v>
      </c>
      <c r="H1984" t="s">
        <v>3872</v>
      </c>
      <c r="I1984" t="s">
        <v>281</v>
      </c>
      <c r="J1984" t="s">
        <v>1508</v>
      </c>
      <c r="K1984" t="s">
        <v>20</v>
      </c>
      <c r="L1984" t="s">
        <v>5086</v>
      </c>
      <c r="M1984" s="3" t="str">
        <f>HYPERLINK("..\..\Imagery\ScannedPhotos\1985\GM85-104.2.jpg")</f>
        <v>..\..\Imagery\ScannedPhotos\1985\GM85-104.2.jpg</v>
      </c>
    </row>
    <row r="1985" spans="1:13" x14ac:dyDescent="0.25">
      <c r="A1985" t="s">
        <v>5088</v>
      </c>
      <c r="B1985">
        <v>502582</v>
      </c>
      <c r="C1985">
        <v>5901546</v>
      </c>
      <c r="D1985">
        <v>21</v>
      </c>
      <c r="E1985" t="s">
        <v>15</v>
      </c>
      <c r="F1985" t="s">
        <v>5089</v>
      </c>
      <c r="G1985">
        <v>2</v>
      </c>
      <c r="H1985" t="s">
        <v>3872</v>
      </c>
      <c r="I1985" t="s">
        <v>18</v>
      </c>
      <c r="J1985" t="s">
        <v>1508</v>
      </c>
      <c r="K1985" t="s">
        <v>20</v>
      </c>
      <c r="L1985" t="s">
        <v>915</v>
      </c>
      <c r="M1985" s="3" t="str">
        <f>HYPERLINK("..\..\Imagery\ScannedPhotos\1985\GM85-105.2.jpg")</f>
        <v>..\..\Imagery\ScannedPhotos\1985\GM85-105.2.jpg</v>
      </c>
    </row>
    <row r="1986" spans="1:13" x14ac:dyDescent="0.25">
      <c r="A1986" t="s">
        <v>5088</v>
      </c>
      <c r="B1986">
        <v>502582</v>
      </c>
      <c r="C1986">
        <v>5901546</v>
      </c>
      <c r="D1986">
        <v>21</v>
      </c>
      <c r="E1986" t="s">
        <v>15</v>
      </c>
      <c r="F1986" t="s">
        <v>5090</v>
      </c>
      <c r="G1986">
        <v>2</v>
      </c>
      <c r="H1986" t="s">
        <v>3872</v>
      </c>
      <c r="I1986" t="s">
        <v>137</v>
      </c>
      <c r="J1986" t="s">
        <v>1508</v>
      </c>
      <c r="K1986" t="s">
        <v>20</v>
      </c>
      <c r="L1986" t="s">
        <v>915</v>
      </c>
      <c r="M1986" s="3" t="str">
        <f>HYPERLINK("..\..\Imagery\ScannedPhotos\1985\GM85-105.1.jpg")</f>
        <v>..\..\Imagery\ScannedPhotos\1985\GM85-105.1.jpg</v>
      </c>
    </row>
    <row r="1987" spans="1:13" x14ac:dyDescent="0.25">
      <c r="A1987" t="s">
        <v>5091</v>
      </c>
      <c r="B1987">
        <v>534264</v>
      </c>
      <c r="C1987">
        <v>5876880</v>
      </c>
      <c r="D1987">
        <v>21</v>
      </c>
      <c r="E1987" t="s">
        <v>15</v>
      </c>
      <c r="F1987" t="s">
        <v>5092</v>
      </c>
      <c r="G1987">
        <v>3</v>
      </c>
      <c r="H1987" t="s">
        <v>3872</v>
      </c>
      <c r="I1987" t="s">
        <v>375</v>
      </c>
      <c r="J1987" t="s">
        <v>1508</v>
      </c>
      <c r="K1987" t="s">
        <v>56</v>
      </c>
      <c r="L1987" t="s">
        <v>5093</v>
      </c>
      <c r="M1987" s="3" t="str">
        <f>HYPERLINK("..\..\Imagery\ScannedPhotos\1985\GM85-227.1.jpg")</f>
        <v>..\..\Imagery\ScannedPhotos\1985\GM85-227.1.jpg</v>
      </c>
    </row>
    <row r="1988" spans="1:13" x14ac:dyDescent="0.25">
      <c r="A1988" t="s">
        <v>5091</v>
      </c>
      <c r="B1988">
        <v>534264</v>
      </c>
      <c r="C1988">
        <v>5876880</v>
      </c>
      <c r="D1988">
        <v>21</v>
      </c>
      <c r="E1988" t="s">
        <v>15</v>
      </c>
      <c r="F1988" t="s">
        <v>5094</v>
      </c>
      <c r="G1988">
        <v>3</v>
      </c>
      <c r="H1988" t="s">
        <v>3872</v>
      </c>
      <c r="I1988" t="s">
        <v>94</v>
      </c>
      <c r="J1988" t="s">
        <v>1508</v>
      </c>
      <c r="K1988" t="s">
        <v>20</v>
      </c>
      <c r="L1988" t="s">
        <v>5093</v>
      </c>
      <c r="M1988" s="3" t="str">
        <f>HYPERLINK("..\..\Imagery\ScannedPhotos\1985\GM85-227.2.jpg")</f>
        <v>..\..\Imagery\ScannedPhotos\1985\GM85-227.2.jpg</v>
      </c>
    </row>
    <row r="1989" spans="1:13" x14ac:dyDescent="0.25">
      <c r="A1989" t="s">
        <v>5091</v>
      </c>
      <c r="B1989">
        <v>534264</v>
      </c>
      <c r="C1989">
        <v>5876880</v>
      </c>
      <c r="D1989">
        <v>21</v>
      </c>
      <c r="E1989" t="s">
        <v>15</v>
      </c>
      <c r="F1989" t="s">
        <v>5095</v>
      </c>
      <c r="G1989">
        <v>3</v>
      </c>
      <c r="H1989" t="s">
        <v>3872</v>
      </c>
      <c r="I1989" t="s">
        <v>209</v>
      </c>
      <c r="J1989" t="s">
        <v>1508</v>
      </c>
      <c r="K1989" t="s">
        <v>20</v>
      </c>
      <c r="L1989" t="s">
        <v>5093</v>
      </c>
      <c r="M1989" s="3" t="str">
        <f>HYPERLINK("..\..\Imagery\ScannedPhotos\1985\GM85-227.3.jpg")</f>
        <v>..\..\Imagery\ScannedPhotos\1985\GM85-227.3.jpg</v>
      </c>
    </row>
    <row r="1990" spans="1:13" x14ac:dyDescent="0.25">
      <c r="A1990" t="s">
        <v>5096</v>
      </c>
      <c r="B1990">
        <v>553919</v>
      </c>
      <c r="C1990">
        <v>5918569</v>
      </c>
      <c r="D1990">
        <v>21</v>
      </c>
      <c r="E1990" t="s">
        <v>15</v>
      </c>
      <c r="F1990" t="s">
        <v>5097</v>
      </c>
      <c r="G1990">
        <v>1</v>
      </c>
      <c r="H1990" t="s">
        <v>3872</v>
      </c>
      <c r="I1990" t="s">
        <v>214</v>
      </c>
      <c r="J1990" t="s">
        <v>1508</v>
      </c>
      <c r="K1990" t="s">
        <v>20</v>
      </c>
      <c r="L1990" t="s">
        <v>5098</v>
      </c>
      <c r="M1990" s="3" t="str">
        <f>HYPERLINK("..\..\Imagery\ScannedPhotos\1985\GM85-327.jpg")</f>
        <v>..\..\Imagery\ScannedPhotos\1985\GM85-327.jpg</v>
      </c>
    </row>
    <row r="1991" spans="1:13" x14ac:dyDescent="0.25">
      <c r="A1991" t="s">
        <v>4941</v>
      </c>
      <c r="B1991">
        <v>553934</v>
      </c>
      <c r="C1991">
        <v>5876024</v>
      </c>
      <c r="D1991">
        <v>21</v>
      </c>
      <c r="E1991" t="s">
        <v>15</v>
      </c>
      <c r="F1991" t="s">
        <v>5099</v>
      </c>
      <c r="G1991">
        <v>2</v>
      </c>
      <c r="H1991" t="s">
        <v>3872</v>
      </c>
      <c r="I1991" t="s">
        <v>195</v>
      </c>
      <c r="J1991" t="s">
        <v>1508</v>
      </c>
      <c r="K1991" t="s">
        <v>20</v>
      </c>
      <c r="L1991" t="s">
        <v>4943</v>
      </c>
      <c r="M1991" s="3" t="str">
        <f>HYPERLINK("..\..\Imagery\ScannedPhotos\1985\GM85-361.1.jpg")</f>
        <v>..\..\Imagery\ScannedPhotos\1985\GM85-361.1.jpg</v>
      </c>
    </row>
    <row r="1992" spans="1:13" x14ac:dyDescent="0.25">
      <c r="A1992" t="s">
        <v>1403</v>
      </c>
      <c r="B1992">
        <v>537298</v>
      </c>
      <c r="C1992">
        <v>5961593</v>
      </c>
      <c r="D1992">
        <v>21</v>
      </c>
      <c r="E1992" t="s">
        <v>15</v>
      </c>
      <c r="F1992" t="s">
        <v>5100</v>
      </c>
      <c r="G1992">
        <v>31</v>
      </c>
      <c r="H1992" t="s">
        <v>1480</v>
      </c>
      <c r="I1992" t="s">
        <v>35</v>
      </c>
      <c r="J1992" t="s">
        <v>48</v>
      </c>
      <c r="K1992" t="s">
        <v>20</v>
      </c>
      <c r="L1992" t="s">
        <v>5101</v>
      </c>
      <c r="M1992" s="3" t="str">
        <f>HYPERLINK("..\..\Imagery\ScannedPhotos\1981\CG81-306.24.jpg")</f>
        <v>..\..\Imagery\ScannedPhotos\1981\CG81-306.24.jpg</v>
      </c>
    </row>
    <row r="1993" spans="1:13" x14ac:dyDescent="0.25">
      <c r="A1993" t="s">
        <v>963</v>
      </c>
      <c r="B1993">
        <v>471427</v>
      </c>
      <c r="C1993">
        <v>5912693</v>
      </c>
      <c r="D1993">
        <v>21</v>
      </c>
      <c r="E1993" t="s">
        <v>15</v>
      </c>
      <c r="F1993" t="s">
        <v>5102</v>
      </c>
      <c r="G1993">
        <v>5</v>
      </c>
      <c r="K1993" t="s">
        <v>56</v>
      </c>
      <c r="L1993" t="s">
        <v>5103</v>
      </c>
      <c r="M1993" s="3" t="str">
        <f>HYPERLINK("..\..\Imagery\ScannedPhotos\2004\CG04-204.4.jpg")</f>
        <v>..\..\Imagery\ScannedPhotos\2004\CG04-204.4.jpg</v>
      </c>
    </row>
    <row r="1994" spans="1:13" x14ac:dyDescent="0.25">
      <c r="A1994" t="s">
        <v>963</v>
      </c>
      <c r="B1994">
        <v>471427</v>
      </c>
      <c r="C1994">
        <v>5912693</v>
      </c>
      <c r="D1994">
        <v>21</v>
      </c>
      <c r="E1994" t="s">
        <v>15</v>
      </c>
      <c r="F1994" t="s">
        <v>5104</v>
      </c>
      <c r="G1994">
        <v>5</v>
      </c>
      <c r="K1994" t="s">
        <v>56</v>
      </c>
      <c r="L1994" t="s">
        <v>5105</v>
      </c>
      <c r="M1994" s="3" t="str">
        <f>HYPERLINK("..\..\Imagery\ScannedPhotos\2004\CG04-204.5.jpg")</f>
        <v>..\..\Imagery\ScannedPhotos\2004\CG04-204.5.jpg</v>
      </c>
    </row>
    <row r="1995" spans="1:13" x14ac:dyDescent="0.25">
      <c r="A1995" t="s">
        <v>3565</v>
      </c>
      <c r="B1995">
        <v>471116</v>
      </c>
      <c r="C1995">
        <v>5912593</v>
      </c>
      <c r="D1995">
        <v>21</v>
      </c>
      <c r="E1995" t="s">
        <v>15</v>
      </c>
      <c r="F1995" t="s">
        <v>5106</v>
      </c>
      <c r="G1995">
        <v>2</v>
      </c>
      <c r="K1995" t="s">
        <v>56</v>
      </c>
      <c r="L1995" t="s">
        <v>337</v>
      </c>
      <c r="M1995" s="3" t="str">
        <f>HYPERLINK("..\..\Imagery\ScannedPhotos\2004\CG04-205.1.jpg")</f>
        <v>..\..\Imagery\ScannedPhotos\2004\CG04-205.1.jpg</v>
      </c>
    </row>
    <row r="1996" spans="1:13" x14ac:dyDescent="0.25">
      <c r="A1996" t="s">
        <v>3325</v>
      </c>
      <c r="B1996">
        <v>383698</v>
      </c>
      <c r="C1996">
        <v>6110998</v>
      </c>
      <c r="D1996">
        <v>21</v>
      </c>
      <c r="E1996" t="s">
        <v>15</v>
      </c>
      <c r="F1996" t="s">
        <v>5107</v>
      </c>
      <c r="G1996">
        <v>2</v>
      </c>
      <c r="H1996" t="s">
        <v>354</v>
      </c>
      <c r="I1996" t="s">
        <v>386</v>
      </c>
      <c r="J1996" t="s">
        <v>355</v>
      </c>
      <c r="K1996" t="s">
        <v>20</v>
      </c>
      <c r="L1996" t="s">
        <v>5108</v>
      </c>
      <c r="M1996" s="3" t="str">
        <f>HYPERLINK("..\..\Imagery\ScannedPhotos\1979\AD79-051.2.jpg")</f>
        <v>..\..\Imagery\ScannedPhotos\1979\AD79-051.2.jpg</v>
      </c>
    </row>
    <row r="1997" spans="1:13" x14ac:dyDescent="0.25">
      <c r="A1997" t="s">
        <v>5109</v>
      </c>
      <c r="B1997">
        <v>375427</v>
      </c>
      <c r="C1997">
        <v>6117306</v>
      </c>
      <c r="D1997">
        <v>21</v>
      </c>
      <c r="E1997" t="s">
        <v>15</v>
      </c>
      <c r="F1997" t="s">
        <v>5110</v>
      </c>
      <c r="G1997">
        <v>1</v>
      </c>
      <c r="H1997" t="s">
        <v>249</v>
      </c>
      <c r="I1997" t="s">
        <v>129</v>
      </c>
      <c r="J1997" t="s">
        <v>250</v>
      </c>
      <c r="K1997" t="s">
        <v>56</v>
      </c>
      <c r="L1997" t="s">
        <v>5111</v>
      </c>
      <c r="M1997" s="3" t="str">
        <f>HYPERLINK("..\..\Imagery\ScannedPhotos\1979\AD79-035.jpg")</f>
        <v>..\..\Imagery\ScannedPhotos\1979\AD79-035.jpg</v>
      </c>
    </row>
    <row r="1998" spans="1:13" x14ac:dyDescent="0.25">
      <c r="A1998" t="s">
        <v>5112</v>
      </c>
      <c r="B1998">
        <v>376248</v>
      </c>
      <c r="C1998">
        <v>6117463</v>
      </c>
      <c r="D1998">
        <v>21</v>
      </c>
      <c r="E1998" t="s">
        <v>15</v>
      </c>
      <c r="F1998" t="s">
        <v>5113</v>
      </c>
      <c r="G1998">
        <v>2</v>
      </c>
      <c r="H1998" t="s">
        <v>249</v>
      </c>
      <c r="I1998" t="s">
        <v>52</v>
      </c>
      <c r="J1998" t="s">
        <v>250</v>
      </c>
      <c r="K1998" t="s">
        <v>20</v>
      </c>
      <c r="L1998" t="s">
        <v>5114</v>
      </c>
      <c r="M1998" s="3" t="str">
        <f>HYPERLINK("..\..\Imagery\ScannedPhotos\1979\AD79-037.1.jpg")</f>
        <v>..\..\Imagery\ScannedPhotos\1979\AD79-037.1.jpg</v>
      </c>
    </row>
    <row r="1999" spans="1:13" x14ac:dyDescent="0.25">
      <c r="A1999" t="s">
        <v>5112</v>
      </c>
      <c r="B1999">
        <v>376248</v>
      </c>
      <c r="C1999">
        <v>6117463</v>
      </c>
      <c r="D1999">
        <v>21</v>
      </c>
      <c r="E1999" t="s">
        <v>15</v>
      </c>
      <c r="F1999" t="s">
        <v>5115</v>
      </c>
      <c r="G1999">
        <v>2</v>
      </c>
      <c r="H1999" t="s">
        <v>249</v>
      </c>
      <c r="I1999" t="s">
        <v>65</v>
      </c>
      <c r="J1999" t="s">
        <v>250</v>
      </c>
      <c r="K1999" t="s">
        <v>20</v>
      </c>
      <c r="L1999" t="s">
        <v>5116</v>
      </c>
      <c r="M1999" s="3" t="str">
        <f>HYPERLINK("..\..\Imagery\ScannedPhotos\1979\AD79-037.2.jpg")</f>
        <v>..\..\Imagery\ScannedPhotos\1979\AD79-037.2.jpg</v>
      </c>
    </row>
    <row r="2000" spans="1:13" x14ac:dyDescent="0.25">
      <c r="A2000" t="s">
        <v>5117</v>
      </c>
      <c r="B2000">
        <v>377517</v>
      </c>
      <c r="C2000">
        <v>6114161</v>
      </c>
      <c r="D2000">
        <v>21</v>
      </c>
      <c r="E2000" t="s">
        <v>15</v>
      </c>
      <c r="F2000" t="s">
        <v>5118</v>
      </c>
      <c r="G2000">
        <v>1</v>
      </c>
      <c r="H2000" t="s">
        <v>354</v>
      </c>
      <c r="I2000" t="s">
        <v>79</v>
      </c>
      <c r="J2000" t="s">
        <v>355</v>
      </c>
      <c r="K2000" t="s">
        <v>20</v>
      </c>
      <c r="L2000" t="s">
        <v>5119</v>
      </c>
      <c r="M2000" s="3" t="str">
        <f>HYPERLINK("..\..\Imagery\ScannedPhotos\1979\AD79-045.jpg")</f>
        <v>..\..\Imagery\ScannedPhotos\1979\AD79-045.jpg</v>
      </c>
    </row>
    <row r="2001" spans="1:13" x14ac:dyDescent="0.25">
      <c r="A2001" t="s">
        <v>5120</v>
      </c>
      <c r="B2001">
        <v>376924</v>
      </c>
      <c r="C2001">
        <v>6113967</v>
      </c>
      <c r="D2001">
        <v>21</v>
      </c>
      <c r="E2001" t="s">
        <v>15</v>
      </c>
      <c r="F2001" t="s">
        <v>5121</v>
      </c>
      <c r="G2001">
        <v>5</v>
      </c>
      <c r="H2001" t="s">
        <v>354</v>
      </c>
      <c r="I2001" t="s">
        <v>375</v>
      </c>
      <c r="J2001" t="s">
        <v>355</v>
      </c>
      <c r="K2001" t="s">
        <v>20</v>
      </c>
      <c r="L2001" t="s">
        <v>5122</v>
      </c>
      <c r="M2001" s="3" t="str">
        <f>HYPERLINK("..\..\Imagery\ScannedPhotos\1979\AD79-048.4.jpg")</f>
        <v>..\..\Imagery\ScannedPhotos\1979\AD79-048.4.jpg</v>
      </c>
    </row>
    <row r="2002" spans="1:13" x14ac:dyDescent="0.25">
      <c r="A2002" t="s">
        <v>5120</v>
      </c>
      <c r="B2002">
        <v>376924</v>
      </c>
      <c r="C2002">
        <v>6113967</v>
      </c>
      <c r="D2002">
        <v>21</v>
      </c>
      <c r="E2002" t="s">
        <v>15</v>
      </c>
      <c r="F2002" t="s">
        <v>5123</v>
      </c>
      <c r="G2002">
        <v>5</v>
      </c>
      <c r="H2002" t="s">
        <v>354</v>
      </c>
      <c r="I2002" t="s">
        <v>94</v>
      </c>
      <c r="J2002" t="s">
        <v>355</v>
      </c>
      <c r="K2002" t="s">
        <v>20</v>
      </c>
      <c r="L2002" t="s">
        <v>5122</v>
      </c>
      <c r="M2002" s="3" t="str">
        <f>HYPERLINK("..\..\Imagery\ScannedPhotos\1979\AD79-048.5.jpg")</f>
        <v>..\..\Imagery\ScannedPhotos\1979\AD79-048.5.jpg</v>
      </c>
    </row>
    <row r="2003" spans="1:13" x14ac:dyDescent="0.25">
      <c r="A2003" t="s">
        <v>5120</v>
      </c>
      <c r="B2003">
        <v>376924</v>
      </c>
      <c r="C2003">
        <v>6113967</v>
      </c>
      <c r="D2003">
        <v>21</v>
      </c>
      <c r="E2003" t="s">
        <v>15</v>
      </c>
      <c r="F2003" t="s">
        <v>5124</v>
      </c>
      <c r="G2003">
        <v>5</v>
      </c>
      <c r="H2003" t="s">
        <v>354</v>
      </c>
      <c r="I2003" t="s">
        <v>41</v>
      </c>
      <c r="J2003" t="s">
        <v>355</v>
      </c>
      <c r="K2003" t="s">
        <v>20</v>
      </c>
      <c r="L2003" t="s">
        <v>5122</v>
      </c>
      <c r="M2003" s="3" t="str">
        <f>HYPERLINK("..\..\Imagery\ScannedPhotos\1979\AD79-048.2.jpg")</f>
        <v>..\..\Imagery\ScannedPhotos\1979\AD79-048.2.jpg</v>
      </c>
    </row>
    <row r="2004" spans="1:13" x14ac:dyDescent="0.25">
      <c r="A2004" t="s">
        <v>5120</v>
      </c>
      <c r="B2004">
        <v>376924</v>
      </c>
      <c r="C2004">
        <v>6113967</v>
      </c>
      <c r="D2004">
        <v>21</v>
      </c>
      <c r="E2004" t="s">
        <v>15</v>
      </c>
      <c r="F2004" t="s">
        <v>5125</v>
      </c>
      <c r="G2004">
        <v>5</v>
      </c>
      <c r="H2004" t="s">
        <v>354</v>
      </c>
      <c r="I2004" t="s">
        <v>74</v>
      </c>
      <c r="J2004" t="s">
        <v>355</v>
      </c>
      <c r="K2004" t="s">
        <v>20</v>
      </c>
      <c r="L2004" t="s">
        <v>5122</v>
      </c>
      <c r="M2004" s="3" t="str">
        <f>HYPERLINK("..\..\Imagery\ScannedPhotos\1979\AD79-048.1.jpg")</f>
        <v>..\..\Imagery\ScannedPhotos\1979\AD79-048.1.jpg</v>
      </c>
    </row>
    <row r="2005" spans="1:13" x14ac:dyDescent="0.25">
      <c r="A2005" t="s">
        <v>5126</v>
      </c>
      <c r="B2005">
        <v>519941</v>
      </c>
      <c r="C2005">
        <v>5719704</v>
      </c>
      <c r="D2005">
        <v>21</v>
      </c>
      <c r="E2005" t="s">
        <v>15</v>
      </c>
      <c r="F2005" t="s">
        <v>5127</v>
      </c>
      <c r="G2005">
        <v>2</v>
      </c>
      <c r="K2005" t="s">
        <v>20</v>
      </c>
      <c r="L2005" t="s">
        <v>5128</v>
      </c>
      <c r="M2005" s="3" t="str">
        <f>HYPERLINK("..\..\Imagery\ScannedPhotos\1993\CG93-187.2.jpg")</f>
        <v>..\..\Imagery\ScannedPhotos\1993\CG93-187.2.jpg</v>
      </c>
    </row>
    <row r="2006" spans="1:13" x14ac:dyDescent="0.25">
      <c r="A2006" t="s">
        <v>5120</v>
      </c>
      <c r="B2006">
        <v>376924</v>
      </c>
      <c r="C2006">
        <v>6113967</v>
      </c>
      <c r="D2006">
        <v>21</v>
      </c>
      <c r="E2006" t="s">
        <v>15</v>
      </c>
      <c r="F2006" t="s">
        <v>5129</v>
      </c>
      <c r="G2006">
        <v>5</v>
      </c>
      <c r="H2006" t="s">
        <v>354</v>
      </c>
      <c r="I2006" t="s">
        <v>85</v>
      </c>
      <c r="J2006" t="s">
        <v>355</v>
      </c>
      <c r="K2006" t="s">
        <v>20</v>
      </c>
      <c r="L2006" t="s">
        <v>5122</v>
      </c>
      <c r="M2006" s="3" t="str">
        <f>HYPERLINK("..\..\Imagery\ScannedPhotos\1979\AD79-048.3.jpg")</f>
        <v>..\..\Imagery\ScannedPhotos\1979\AD79-048.3.jpg</v>
      </c>
    </row>
    <row r="2007" spans="1:13" x14ac:dyDescent="0.25">
      <c r="A2007" t="s">
        <v>5130</v>
      </c>
      <c r="B2007">
        <v>438075</v>
      </c>
      <c r="C2007">
        <v>5779650</v>
      </c>
      <c r="D2007">
        <v>21</v>
      </c>
      <c r="E2007" t="s">
        <v>15</v>
      </c>
      <c r="F2007" t="s">
        <v>5131</v>
      </c>
      <c r="G2007">
        <v>1</v>
      </c>
      <c r="H2007" t="s">
        <v>2563</v>
      </c>
      <c r="I2007" t="s">
        <v>30</v>
      </c>
      <c r="J2007" t="s">
        <v>905</v>
      </c>
      <c r="K2007" t="s">
        <v>56</v>
      </c>
      <c r="L2007" t="s">
        <v>5132</v>
      </c>
      <c r="M2007" s="3" t="str">
        <f>HYPERLINK("..\..\Imagery\ScannedPhotos\1992\JA92-135.jpg")</f>
        <v>..\..\Imagery\ScannedPhotos\1992\JA92-135.jpg</v>
      </c>
    </row>
    <row r="2008" spans="1:13" x14ac:dyDescent="0.25">
      <c r="A2008" t="s">
        <v>5133</v>
      </c>
      <c r="B2008">
        <v>376336</v>
      </c>
      <c r="C2008">
        <v>5910174</v>
      </c>
      <c r="D2008">
        <v>21</v>
      </c>
      <c r="E2008" t="s">
        <v>15</v>
      </c>
      <c r="F2008" t="s">
        <v>5134</v>
      </c>
      <c r="G2008">
        <v>2</v>
      </c>
      <c r="H2008" t="s">
        <v>562</v>
      </c>
      <c r="I2008" t="s">
        <v>30</v>
      </c>
      <c r="J2008" t="s">
        <v>563</v>
      </c>
      <c r="K2008" t="s">
        <v>56</v>
      </c>
      <c r="L2008" t="s">
        <v>4497</v>
      </c>
      <c r="M2008" s="3" t="str">
        <f>HYPERLINK("..\..\Imagery\ScannedPhotos\1995\VN95-148.1.jpg")</f>
        <v>..\..\Imagery\ScannedPhotos\1995\VN95-148.1.jpg</v>
      </c>
    </row>
    <row r="2009" spans="1:13" x14ac:dyDescent="0.25">
      <c r="A2009" t="s">
        <v>5135</v>
      </c>
      <c r="B2009">
        <v>381949</v>
      </c>
      <c r="C2009">
        <v>5989748</v>
      </c>
      <c r="D2009">
        <v>21</v>
      </c>
      <c r="E2009" t="s">
        <v>15</v>
      </c>
      <c r="F2009" t="s">
        <v>5136</v>
      </c>
      <c r="G2009">
        <v>4</v>
      </c>
      <c r="H2009" t="s">
        <v>268</v>
      </c>
      <c r="I2009" t="s">
        <v>195</v>
      </c>
      <c r="J2009" t="s">
        <v>269</v>
      </c>
      <c r="K2009" t="s">
        <v>56</v>
      </c>
      <c r="L2009" t="s">
        <v>3995</v>
      </c>
      <c r="M2009" s="3" t="str">
        <f>HYPERLINK("..\..\Imagery\ScannedPhotos\1980\CG80-585.2.jpg")</f>
        <v>..\..\Imagery\ScannedPhotos\1980\CG80-585.2.jpg</v>
      </c>
    </row>
    <row r="2010" spans="1:13" x14ac:dyDescent="0.25">
      <c r="A2010" t="s">
        <v>4344</v>
      </c>
      <c r="B2010">
        <v>598430</v>
      </c>
      <c r="C2010">
        <v>5790240</v>
      </c>
      <c r="D2010">
        <v>21</v>
      </c>
      <c r="E2010" t="s">
        <v>15</v>
      </c>
      <c r="F2010" t="s">
        <v>5137</v>
      </c>
      <c r="G2010">
        <v>3</v>
      </c>
      <c r="H2010" t="s">
        <v>4315</v>
      </c>
      <c r="I2010" t="s">
        <v>360</v>
      </c>
      <c r="J2010" t="s">
        <v>996</v>
      </c>
      <c r="K2010" t="s">
        <v>20</v>
      </c>
      <c r="L2010" t="s">
        <v>5138</v>
      </c>
      <c r="M2010" s="3" t="str">
        <f>HYPERLINK("..\..\Imagery\ScannedPhotos\1987\CG87-663.2.jpg")</f>
        <v>..\..\Imagery\ScannedPhotos\1987\CG87-663.2.jpg</v>
      </c>
    </row>
    <row r="2011" spans="1:13" x14ac:dyDescent="0.25">
      <c r="A2011" t="s">
        <v>1911</v>
      </c>
      <c r="B2011">
        <v>413177</v>
      </c>
      <c r="C2011">
        <v>5871511</v>
      </c>
      <c r="D2011">
        <v>21</v>
      </c>
      <c r="E2011" t="s">
        <v>15</v>
      </c>
      <c r="F2011" t="s">
        <v>5139</v>
      </c>
      <c r="G2011">
        <v>7</v>
      </c>
      <c r="H2011" t="s">
        <v>1913</v>
      </c>
      <c r="I2011" t="s">
        <v>94</v>
      </c>
      <c r="J2011" t="s">
        <v>771</v>
      </c>
      <c r="K2011" t="s">
        <v>228</v>
      </c>
      <c r="L2011" t="s">
        <v>1916</v>
      </c>
      <c r="M2011" s="3" t="str">
        <f>HYPERLINK("..\..\Imagery\ScannedPhotos\1997\CG97-066.1.jpg")</f>
        <v>..\..\Imagery\ScannedPhotos\1997\CG97-066.1.jpg</v>
      </c>
    </row>
    <row r="2012" spans="1:13" x14ac:dyDescent="0.25">
      <c r="A2012" t="s">
        <v>2526</v>
      </c>
      <c r="B2012">
        <v>392846</v>
      </c>
      <c r="C2012">
        <v>6071387</v>
      </c>
      <c r="D2012">
        <v>21</v>
      </c>
      <c r="E2012" t="s">
        <v>15</v>
      </c>
      <c r="F2012" t="s">
        <v>5140</v>
      </c>
      <c r="G2012">
        <v>5</v>
      </c>
      <c r="H2012" t="s">
        <v>1833</v>
      </c>
      <c r="I2012" t="s">
        <v>25</v>
      </c>
      <c r="J2012" t="s">
        <v>610</v>
      </c>
      <c r="K2012" t="s">
        <v>228</v>
      </c>
      <c r="L2012" t="s">
        <v>5141</v>
      </c>
      <c r="M2012" s="3" t="str">
        <f>HYPERLINK("..\..\Imagery\ScannedPhotos\1979\CG79-162.5.jpg")</f>
        <v>..\..\Imagery\ScannedPhotos\1979\CG79-162.5.jpg</v>
      </c>
    </row>
    <row r="2013" spans="1:13" x14ac:dyDescent="0.25">
      <c r="A2013" t="s">
        <v>2526</v>
      </c>
      <c r="B2013">
        <v>392846</v>
      </c>
      <c r="C2013">
        <v>6071387</v>
      </c>
      <c r="D2013">
        <v>21</v>
      </c>
      <c r="E2013" t="s">
        <v>15</v>
      </c>
      <c r="F2013" t="s">
        <v>5142</v>
      </c>
      <c r="G2013">
        <v>5</v>
      </c>
      <c r="H2013" t="s">
        <v>1833</v>
      </c>
      <c r="I2013" t="s">
        <v>222</v>
      </c>
      <c r="J2013" t="s">
        <v>610</v>
      </c>
      <c r="K2013" t="s">
        <v>56</v>
      </c>
      <c r="L2013" t="s">
        <v>5143</v>
      </c>
      <c r="M2013" s="3" t="str">
        <f>HYPERLINK("..\..\Imagery\ScannedPhotos\1979\CG79-162.1.jpg")</f>
        <v>..\..\Imagery\ScannedPhotos\1979\CG79-162.1.jpg</v>
      </c>
    </row>
    <row r="2014" spans="1:13" x14ac:dyDescent="0.25">
      <c r="A2014" t="s">
        <v>5144</v>
      </c>
      <c r="B2014">
        <v>577461</v>
      </c>
      <c r="C2014">
        <v>5860623</v>
      </c>
      <c r="D2014">
        <v>21</v>
      </c>
      <c r="E2014" t="s">
        <v>15</v>
      </c>
      <c r="F2014" t="s">
        <v>5145</v>
      </c>
      <c r="G2014">
        <v>1</v>
      </c>
      <c r="H2014" t="s">
        <v>874</v>
      </c>
      <c r="I2014" t="s">
        <v>304</v>
      </c>
      <c r="J2014" t="s">
        <v>300</v>
      </c>
      <c r="K2014" t="s">
        <v>56</v>
      </c>
      <c r="L2014" t="s">
        <v>5146</v>
      </c>
      <c r="M2014" s="3" t="str">
        <f>HYPERLINK("..\..\Imagery\ScannedPhotos\1986\SN86-316.jpg")</f>
        <v>..\..\Imagery\ScannedPhotos\1986\SN86-316.jpg</v>
      </c>
    </row>
    <row r="2015" spans="1:13" x14ac:dyDescent="0.25">
      <c r="A2015" t="s">
        <v>1184</v>
      </c>
      <c r="B2015">
        <v>498017</v>
      </c>
      <c r="C2015">
        <v>5950628</v>
      </c>
      <c r="D2015">
        <v>21</v>
      </c>
      <c r="E2015" t="s">
        <v>15</v>
      </c>
      <c r="F2015" t="s">
        <v>5147</v>
      </c>
      <c r="G2015">
        <v>26</v>
      </c>
      <c r="H2015" t="s">
        <v>1197</v>
      </c>
      <c r="I2015" t="s">
        <v>418</v>
      </c>
      <c r="J2015" t="s">
        <v>48</v>
      </c>
      <c r="K2015" t="s">
        <v>535</v>
      </c>
      <c r="L2015" t="s">
        <v>5148</v>
      </c>
      <c r="M2015" s="3" t="str">
        <f>HYPERLINK("..\..\Imagery\ScannedPhotos\1981\CG81-001.14.jpg")</f>
        <v>..\..\Imagery\ScannedPhotos\1981\CG81-001.14.jpg</v>
      </c>
    </row>
    <row r="2016" spans="1:13" x14ac:dyDescent="0.25">
      <c r="A2016" t="s">
        <v>1184</v>
      </c>
      <c r="B2016">
        <v>498017</v>
      </c>
      <c r="C2016">
        <v>5950628</v>
      </c>
      <c r="D2016">
        <v>21</v>
      </c>
      <c r="E2016" t="s">
        <v>15</v>
      </c>
      <c r="F2016" t="s">
        <v>5149</v>
      </c>
      <c r="G2016">
        <v>26</v>
      </c>
      <c r="H2016" t="s">
        <v>1197</v>
      </c>
      <c r="I2016" t="s">
        <v>222</v>
      </c>
      <c r="J2016" t="s">
        <v>48</v>
      </c>
      <c r="K2016" t="s">
        <v>535</v>
      </c>
      <c r="L2016" t="s">
        <v>5150</v>
      </c>
      <c r="M2016" s="3" t="str">
        <f>HYPERLINK("..\..\Imagery\ScannedPhotos\1981\CG81-001.13.jpg")</f>
        <v>..\..\Imagery\ScannedPhotos\1981\CG81-001.13.jpg</v>
      </c>
    </row>
    <row r="2017" spans="1:13" x14ac:dyDescent="0.25">
      <c r="A2017" t="s">
        <v>5151</v>
      </c>
      <c r="B2017">
        <v>483900</v>
      </c>
      <c r="C2017">
        <v>5825915</v>
      </c>
      <c r="D2017">
        <v>21</v>
      </c>
      <c r="E2017" t="s">
        <v>15</v>
      </c>
      <c r="F2017" t="s">
        <v>5152</v>
      </c>
      <c r="G2017">
        <v>2</v>
      </c>
      <c r="H2017" t="s">
        <v>40</v>
      </c>
      <c r="I2017" t="s">
        <v>217</v>
      </c>
      <c r="J2017" t="s">
        <v>42</v>
      </c>
      <c r="K2017" t="s">
        <v>56</v>
      </c>
      <c r="L2017" t="s">
        <v>322</v>
      </c>
      <c r="M2017" s="3" t="str">
        <f>HYPERLINK("..\..\Imagery\ScannedPhotos\1991\DD91-050.1.jpg")</f>
        <v>..\..\Imagery\ScannedPhotos\1991\DD91-050.1.jpg</v>
      </c>
    </row>
    <row r="2018" spans="1:13" x14ac:dyDescent="0.25">
      <c r="A2018" t="s">
        <v>5151</v>
      </c>
      <c r="B2018">
        <v>483900</v>
      </c>
      <c r="C2018">
        <v>5825915</v>
      </c>
      <c r="D2018">
        <v>21</v>
      </c>
      <c r="E2018" t="s">
        <v>15</v>
      </c>
      <c r="F2018" t="s">
        <v>5153</v>
      </c>
      <c r="G2018">
        <v>2</v>
      </c>
      <c r="H2018" t="s">
        <v>40</v>
      </c>
      <c r="I2018" t="s">
        <v>214</v>
      </c>
      <c r="J2018" t="s">
        <v>42</v>
      </c>
      <c r="K2018" t="s">
        <v>20</v>
      </c>
      <c r="L2018" t="s">
        <v>5154</v>
      </c>
      <c r="M2018" s="3" t="str">
        <f>HYPERLINK("..\..\Imagery\ScannedPhotos\1991\DD91-050.2.jpg")</f>
        <v>..\..\Imagery\ScannedPhotos\1991\DD91-050.2.jpg</v>
      </c>
    </row>
    <row r="2019" spans="1:13" x14ac:dyDescent="0.25">
      <c r="A2019" t="s">
        <v>5155</v>
      </c>
      <c r="B2019">
        <v>533279</v>
      </c>
      <c r="C2019">
        <v>5952089</v>
      </c>
      <c r="D2019">
        <v>21</v>
      </c>
      <c r="E2019" t="s">
        <v>15</v>
      </c>
      <c r="F2019" t="s">
        <v>5156</v>
      </c>
      <c r="G2019">
        <v>1</v>
      </c>
      <c r="H2019" t="s">
        <v>221</v>
      </c>
      <c r="I2019" t="s">
        <v>360</v>
      </c>
      <c r="J2019" t="s">
        <v>48</v>
      </c>
      <c r="K2019" t="s">
        <v>20</v>
      </c>
      <c r="L2019" t="s">
        <v>5157</v>
      </c>
      <c r="M2019" s="3" t="str">
        <f>HYPERLINK("..\..\Imagery\ScannedPhotos\1981\CG81-361.jpg")</f>
        <v>..\..\Imagery\ScannedPhotos\1981\CG81-361.jpg</v>
      </c>
    </row>
    <row r="2020" spans="1:13" x14ac:dyDescent="0.25">
      <c r="A2020" t="s">
        <v>5158</v>
      </c>
      <c r="B2020">
        <v>531889</v>
      </c>
      <c r="C2020">
        <v>5951987</v>
      </c>
      <c r="D2020">
        <v>21</v>
      </c>
      <c r="E2020" t="s">
        <v>15</v>
      </c>
      <c r="F2020" t="s">
        <v>5159</v>
      </c>
      <c r="G2020">
        <v>2</v>
      </c>
      <c r="H2020" t="s">
        <v>221</v>
      </c>
      <c r="I2020" t="s">
        <v>30</v>
      </c>
      <c r="J2020" t="s">
        <v>48</v>
      </c>
      <c r="K2020" t="s">
        <v>20</v>
      </c>
      <c r="L2020" t="s">
        <v>5160</v>
      </c>
      <c r="M2020" s="3" t="str">
        <f>HYPERLINK("..\..\Imagery\ScannedPhotos\1981\CG81-364.2.jpg")</f>
        <v>..\..\Imagery\ScannedPhotos\1981\CG81-364.2.jpg</v>
      </c>
    </row>
    <row r="2021" spans="1:13" x14ac:dyDescent="0.25">
      <c r="A2021" t="s">
        <v>5158</v>
      </c>
      <c r="B2021">
        <v>531889</v>
      </c>
      <c r="C2021">
        <v>5951987</v>
      </c>
      <c r="D2021">
        <v>21</v>
      </c>
      <c r="E2021" t="s">
        <v>15</v>
      </c>
      <c r="F2021" t="s">
        <v>5161</v>
      </c>
      <c r="G2021">
        <v>2</v>
      </c>
      <c r="H2021" t="s">
        <v>221</v>
      </c>
      <c r="I2021" t="s">
        <v>647</v>
      </c>
      <c r="J2021" t="s">
        <v>48</v>
      </c>
      <c r="K2021" t="s">
        <v>20</v>
      </c>
      <c r="L2021" t="s">
        <v>5162</v>
      </c>
      <c r="M2021" s="3" t="str">
        <f>HYPERLINK("..\..\Imagery\ScannedPhotos\1981\CG81-364.1.jpg")</f>
        <v>..\..\Imagery\ScannedPhotos\1981\CG81-364.1.jpg</v>
      </c>
    </row>
    <row r="2022" spans="1:13" x14ac:dyDescent="0.25">
      <c r="A2022" t="s">
        <v>5163</v>
      </c>
      <c r="B2022">
        <v>565608</v>
      </c>
      <c r="C2022">
        <v>5844086</v>
      </c>
      <c r="D2022">
        <v>21</v>
      </c>
      <c r="E2022" t="s">
        <v>15</v>
      </c>
      <c r="F2022" t="s">
        <v>5164</v>
      </c>
      <c r="G2022">
        <v>1</v>
      </c>
      <c r="H2022" t="s">
        <v>99</v>
      </c>
      <c r="I2022" t="s">
        <v>209</v>
      </c>
      <c r="J2022" t="s">
        <v>100</v>
      </c>
      <c r="K2022" t="s">
        <v>20</v>
      </c>
      <c r="L2022" t="s">
        <v>5165</v>
      </c>
      <c r="M2022" s="3" t="str">
        <f>HYPERLINK("..\..\Imagery\ScannedPhotos\1986\MN86-366.jpg")</f>
        <v>..\..\Imagery\ScannedPhotos\1986\MN86-366.jpg</v>
      </c>
    </row>
    <row r="2023" spans="1:13" x14ac:dyDescent="0.25">
      <c r="A2023" t="s">
        <v>5166</v>
      </c>
      <c r="B2023">
        <v>577384</v>
      </c>
      <c r="C2023">
        <v>5854459</v>
      </c>
      <c r="D2023">
        <v>21</v>
      </c>
      <c r="E2023" t="s">
        <v>15</v>
      </c>
      <c r="F2023" t="s">
        <v>5167</v>
      </c>
      <c r="G2023">
        <v>2</v>
      </c>
      <c r="H2023" t="s">
        <v>99</v>
      </c>
      <c r="I2023" t="s">
        <v>386</v>
      </c>
      <c r="J2023" t="s">
        <v>100</v>
      </c>
      <c r="K2023" t="s">
        <v>20</v>
      </c>
      <c r="L2023" t="s">
        <v>5168</v>
      </c>
      <c r="M2023" s="3" t="str">
        <f>HYPERLINK("..\..\Imagery\ScannedPhotos\1986\MN86-368.1.jpg")</f>
        <v>..\..\Imagery\ScannedPhotos\1986\MN86-368.1.jpg</v>
      </c>
    </row>
    <row r="2024" spans="1:13" x14ac:dyDescent="0.25">
      <c r="A2024" t="s">
        <v>5169</v>
      </c>
      <c r="B2024">
        <v>574787</v>
      </c>
      <c r="C2024">
        <v>5854184</v>
      </c>
      <c r="D2024">
        <v>21</v>
      </c>
      <c r="E2024" t="s">
        <v>15</v>
      </c>
      <c r="F2024" t="s">
        <v>5170</v>
      </c>
      <c r="G2024">
        <v>1</v>
      </c>
      <c r="H2024" t="s">
        <v>99</v>
      </c>
      <c r="I2024" t="s">
        <v>195</v>
      </c>
      <c r="J2024" t="s">
        <v>100</v>
      </c>
      <c r="K2024" t="s">
        <v>20</v>
      </c>
      <c r="L2024" t="s">
        <v>5171</v>
      </c>
      <c r="M2024" s="3" t="str">
        <f>HYPERLINK("..\..\Imagery\ScannedPhotos\1986\MN86-377.jpg")</f>
        <v>..\..\Imagery\ScannedPhotos\1986\MN86-377.jpg</v>
      </c>
    </row>
    <row r="2025" spans="1:13" x14ac:dyDescent="0.25">
      <c r="A2025" t="s">
        <v>1388</v>
      </c>
      <c r="B2025">
        <v>595341</v>
      </c>
      <c r="C2025">
        <v>5793672</v>
      </c>
      <c r="D2025">
        <v>21</v>
      </c>
      <c r="E2025" t="s">
        <v>15</v>
      </c>
      <c r="F2025" t="s">
        <v>5172</v>
      </c>
      <c r="G2025">
        <v>4</v>
      </c>
      <c r="H2025" t="s">
        <v>1390</v>
      </c>
      <c r="I2025" t="s">
        <v>41</v>
      </c>
      <c r="J2025" t="s">
        <v>1391</v>
      </c>
      <c r="K2025" t="s">
        <v>935</v>
      </c>
      <c r="L2025" t="s">
        <v>5173</v>
      </c>
      <c r="M2025" s="3" t="str">
        <f>HYPERLINK("..\..\Imagery\ScannedPhotos\1987\CG87-580.4.jpg")</f>
        <v>..\..\Imagery\ScannedPhotos\1987\CG87-580.4.jpg</v>
      </c>
    </row>
    <row r="2026" spans="1:13" x14ac:dyDescent="0.25">
      <c r="A2026" t="s">
        <v>5174</v>
      </c>
      <c r="B2026">
        <v>296399</v>
      </c>
      <c r="C2026">
        <v>5798786</v>
      </c>
      <c r="D2026">
        <v>21</v>
      </c>
      <c r="E2026" t="s">
        <v>15</v>
      </c>
      <c r="F2026" t="s">
        <v>5175</v>
      </c>
      <c r="G2026">
        <v>1</v>
      </c>
      <c r="H2026" t="s">
        <v>3404</v>
      </c>
      <c r="I2026" t="s">
        <v>108</v>
      </c>
      <c r="J2026" t="s">
        <v>80</v>
      </c>
      <c r="K2026" t="s">
        <v>20</v>
      </c>
      <c r="L2026" t="s">
        <v>5176</v>
      </c>
      <c r="M2026" s="3" t="str">
        <f>HYPERLINK("..\..\Imagery\ScannedPhotos\2000\CG00-004.jpg")</f>
        <v>..\..\Imagery\ScannedPhotos\2000\CG00-004.jpg</v>
      </c>
    </row>
    <row r="2027" spans="1:13" x14ac:dyDescent="0.25">
      <c r="A2027" t="s">
        <v>3402</v>
      </c>
      <c r="B2027">
        <v>317952</v>
      </c>
      <c r="C2027">
        <v>5790148</v>
      </c>
      <c r="D2027">
        <v>21</v>
      </c>
      <c r="E2027" t="s">
        <v>15</v>
      </c>
      <c r="F2027" t="s">
        <v>5177</v>
      </c>
      <c r="G2027">
        <v>6</v>
      </c>
      <c r="H2027" t="s">
        <v>3404</v>
      </c>
      <c r="I2027" t="s">
        <v>41</v>
      </c>
      <c r="J2027" t="s">
        <v>80</v>
      </c>
      <c r="K2027" t="s">
        <v>535</v>
      </c>
      <c r="L2027" t="s">
        <v>5178</v>
      </c>
      <c r="M2027" s="3" t="str">
        <f>HYPERLINK("..\..\Imagery\ScannedPhotos\2000\CG00-043.2.jpg")</f>
        <v>..\..\Imagery\ScannedPhotos\2000\CG00-043.2.jpg</v>
      </c>
    </row>
    <row r="2028" spans="1:13" x14ac:dyDescent="0.25">
      <c r="A2028" t="s">
        <v>5179</v>
      </c>
      <c r="B2028">
        <v>510915</v>
      </c>
      <c r="C2028">
        <v>5860747</v>
      </c>
      <c r="D2028">
        <v>21</v>
      </c>
      <c r="E2028" t="s">
        <v>15</v>
      </c>
      <c r="F2028" t="s">
        <v>5180</v>
      </c>
      <c r="G2028">
        <v>1</v>
      </c>
      <c r="H2028" t="s">
        <v>1232</v>
      </c>
      <c r="I2028" t="s">
        <v>294</v>
      </c>
      <c r="J2028" t="s">
        <v>1233</v>
      </c>
      <c r="K2028" t="s">
        <v>20</v>
      </c>
      <c r="L2028" t="s">
        <v>5181</v>
      </c>
      <c r="M2028" s="3" t="str">
        <f>HYPERLINK("..\..\Imagery\ScannedPhotos\1986\CG86-174.jpg")</f>
        <v>..\..\Imagery\ScannedPhotos\1986\CG86-174.jpg</v>
      </c>
    </row>
    <row r="2029" spans="1:13" x14ac:dyDescent="0.25">
      <c r="A2029" t="s">
        <v>4796</v>
      </c>
      <c r="B2029">
        <v>377429</v>
      </c>
      <c r="C2029">
        <v>5975553</v>
      </c>
      <c r="D2029">
        <v>21</v>
      </c>
      <c r="E2029" t="s">
        <v>15</v>
      </c>
      <c r="F2029" t="s">
        <v>5182</v>
      </c>
      <c r="G2029">
        <v>5</v>
      </c>
      <c r="H2029" t="s">
        <v>622</v>
      </c>
      <c r="I2029" t="s">
        <v>281</v>
      </c>
      <c r="J2029" t="s">
        <v>623</v>
      </c>
      <c r="K2029" t="s">
        <v>20</v>
      </c>
      <c r="L2029" t="s">
        <v>4798</v>
      </c>
      <c r="M2029" s="3" t="str">
        <f>HYPERLINK("..\..\Imagery\ScannedPhotos\1980\NN80-148.2.jpg")</f>
        <v>..\..\Imagery\ScannedPhotos\1980\NN80-148.2.jpg</v>
      </c>
    </row>
    <row r="2030" spans="1:13" x14ac:dyDescent="0.25">
      <c r="A2030" t="s">
        <v>4796</v>
      </c>
      <c r="B2030">
        <v>377429</v>
      </c>
      <c r="C2030">
        <v>5975553</v>
      </c>
      <c r="D2030">
        <v>21</v>
      </c>
      <c r="E2030" t="s">
        <v>15</v>
      </c>
      <c r="F2030" t="s">
        <v>5183</v>
      </c>
      <c r="G2030">
        <v>5</v>
      </c>
      <c r="H2030" t="s">
        <v>622</v>
      </c>
      <c r="I2030" t="s">
        <v>35</v>
      </c>
      <c r="J2030" t="s">
        <v>623</v>
      </c>
      <c r="K2030" t="s">
        <v>20</v>
      </c>
      <c r="L2030" t="s">
        <v>5184</v>
      </c>
      <c r="M2030" s="3" t="str">
        <f>HYPERLINK("..\..\Imagery\ScannedPhotos\1980\NN80-148.5.jpg")</f>
        <v>..\..\Imagery\ScannedPhotos\1980\NN80-148.5.jpg</v>
      </c>
    </row>
    <row r="2031" spans="1:13" x14ac:dyDescent="0.25">
      <c r="A2031" t="s">
        <v>4796</v>
      </c>
      <c r="B2031">
        <v>377429</v>
      </c>
      <c r="C2031">
        <v>5975553</v>
      </c>
      <c r="D2031">
        <v>21</v>
      </c>
      <c r="E2031" t="s">
        <v>15</v>
      </c>
      <c r="F2031" t="s">
        <v>5185</v>
      </c>
      <c r="G2031">
        <v>5</v>
      </c>
      <c r="H2031" t="s">
        <v>622</v>
      </c>
      <c r="I2031" t="s">
        <v>18</v>
      </c>
      <c r="J2031" t="s">
        <v>623</v>
      </c>
      <c r="K2031" t="s">
        <v>20</v>
      </c>
      <c r="L2031" t="s">
        <v>5184</v>
      </c>
      <c r="M2031" s="3" t="str">
        <f>HYPERLINK("..\..\Imagery\ScannedPhotos\1980\NN80-148.4.jpg")</f>
        <v>..\..\Imagery\ScannedPhotos\1980\NN80-148.4.jpg</v>
      </c>
    </row>
    <row r="2032" spans="1:13" x14ac:dyDescent="0.25">
      <c r="A2032" t="s">
        <v>1144</v>
      </c>
      <c r="B2032">
        <v>497637</v>
      </c>
      <c r="C2032">
        <v>5941694</v>
      </c>
      <c r="D2032">
        <v>21</v>
      </c>
      <c r="E2032" t="s">
        <v>15</v>
      </c>
      <c r="F2032" t="s">
        <v>5186</v>
      </c>
      <c r="G2032">
        <v>7</v>
      </c>
      <c r="K2032" t="s">
        <v>935</v>
      </c>
      <c r="L2032" t="s">
        <v>5187</v>
      </c>
      <c r="M2032" s="3" t="str">
        <f>HYPERLINK("..\..\Imagery\ScannedPhotos\2004\CG04-158.4.jpg")</f>
        <v>..\..\Imagery\ScannedPhotos\2004\CG04-158.4.jpg</v>
      </c>
    </row>
    <row r="2033" spans="1:13" x14ac:dyDescent="0.25">
      <c r="A2033" t="s">
        <v>1144</v>
      </c>
      <c r="B2033">
        <v>497637</v>
      </c>
      <c r="C2033">
        <v>5941694</v>
      </c>
      <c r="D2033">
        <v>21</v>
      </c>
      <c r="E2033" t="s">
        <v>15</v>
      </c>
      <c r="F2033" t="s">
        <v>5188</v>
      </c>
      <c r="G2033">
        <v>7</v>
      </c>
      <c r="K2033" t="s">
        <v>935</v>
      </c>
      <c r="L2033" t="s">
        <v>5189</v>
      </c>
      <c r="M2033" s="3" t="str">
        <f>HYPERLINK("..\..\Imagery\ScannedPhotos\2004\CG04-158.5.jpg")</f>
        <v>..\..\Imagery\ScannedPhotos\2004\CG04-158.5.jpg</v>
      </c>
    </row>
    <row r="2034" spans="1:13" x14ac:dyDescent="0.25">
      <c r="A2034" t="s">
        <v>1144</v>
      </c>
      <c r="B2034">
        <v>497637</v>
      </c>
      <c r="C2034">
        <v>5941694</v>
      </c>
      <c r="D2034">
        <v>21</v>
      </c>
      <c r="E2034" t="s">
        <v>15</v>
      </c>
      <c r="F2034" t="s">
        <v>5190</v>
      </c>
      <c r="G2034">
        <v>7</v>
      </c>
      <c r="K2034" t="s">
        <v>935</v>
      </c>
      <c r="L2034" t="s">
        <v>5191</v>
      </c>
      <c r="M2034" s="3" t="str">
        <f>HYPERLINK("..\..\Imagery\ScannedPhotos\2004\CG04-158.6.jpg")</f>
        <v>..\..\Imagery\ScannedPhotos\2004\CG04-158.6.jpg</v>
      </c>
    </row>
    <row r="2035" spans="1:13" x14ac:dyDescent="0.25">
      <c r="A2035" t="s">
        <v>1144</v>
      </c>
      <c r="B2035">
        <v>497637</v>
      </c>
      <c r="C2035">
        <v>5941694</v>
      </c>
      <c r="D2035">
        <v>21</v>
      </c>
      <c r="E2035" t="s">
        <v>15</v>
      </c>
      <c r="F2035" t="s">
        <v>5192</v>
      </c>
      <c r="G2035">
        <v>7</v>
      </c>
      <c r="K2035" t="s">
        <v>935</v>
      </c>
      <c r="L2035" t="s">
        <v>5193</v>
      </c>
      <c r="M2035" s="3" t="str">
        <f>HYPERLINK("..\..\Imagery\ScannedPhotos\2004\CG04-158.7.jpg")</f>
        <v>..\..\Imagery\ScannedPhotos\2004\CG04-158.7.jpg</v>
      </c>
    </row>
    <row r="2036" spans="1:13" x14ac:dyDescent="0.25">
      <c r="A2036" t="s">
        <v>5194</v>
      </c>
      <c r="B2036">
        <v>495927</v>
      </c>
      <c r="C2036">
        <v>5936229</v>
      </c>
      <c r="D2036">
        <v>21</v>
      </c>
      <c r="E2036" t="s">
        <v>15</v>
      </c>
      <c r="F2036" t="s">
        <v>5195</v>
      </c>
      <c r="G2036">
        <v>2</v>
      </c>
      <c r="K2036" t="s">
        <v>20</v>
      </c>
      <c r="L2036" t="s">
        <v>5196</v>
      </c>
      <c r="M2036" s="3" t="str">
        <f>HYPERLINK("..\..\Imagery\ScannedPhotos\2004\CG04-163.1.jpg")</f>
        <v>..\..\Imagery\ScannedPhotos\2004\CG04-163.1.jpg</v>
      </c>
    </row>
    <row r="2037" spans="1:13" x14ac:dyDescent="0.25">
      <c r="A2037" t="s">
        <v>5194</v>
      </c>
      <c r="B2037">
        <v>495927</v>
      </c>
      <c r="C2037">
        <v>5936229</v>
      </c>
      <c r="D2037">
        <v>21</v>
      </c>
      <c r="E2037" t="s">
        <v>15</v>
      </c>
      <c r="F2037" t="s">
        <v>5197</v>
      </c>
      <c r="G2037">
        <v>2</v>
      </c>
      <c r="K2037" t="s">
        <v>20</v>
      </c>
      <c r="L2037" t="s">
        <v>5198</v>
      </c>
      <c r="M2037" s="3" t="str">
        <f>HYPERLINK("..\..\Imagery\ScannedPhotos\2004\CG04-163.2.jpg")</f>
        <v>..\..\Imagery\ScannedPhotos\2004\CG04-163.2.jpg</v>
      </c>
    </row>
    <row r="2038" spans="1:13" x14ac:dyDescent="0.25">
      <c r="A2038" t="s">
        <v>5199</v>
      </c>
      <c r="B2038">
        <v>495148</v>
      </c>
      <c r="C2038">
        <v>5929537</v>
      </c>
      <c r="D2038">
        <v>21</v>
      </c>
      <c r="E2038" t="s">
        <v>15</v>
      </c>
      <c r="F2038" t="s">
        <v>5200</v>
      </c>
      <c r="G2038">
        <v>1</v>
      </c>
      <c r="K2038" t="s">
        <v>20</v>
      </c>
      <c r="L2038" t="s">
        <v>5201</v>
      </c>
      <c r="M2038" s="3" t="str">
        <f>HYPERLINK("..\..\Imagery\ScannedPhotos\2004\CG04-170.jpg")</f>
        <v>..\..\Imagery\ScannedPhotos\2004\CG04-170.jpg</v>
      </c>
    </row>
    <row r="2039" spans="1:13" x14ac:dyDescent="0.25">
      <c r="A2039" t="s">
        <v>1974</v>
      </c>
      <c r="B2039">
        <v>495048</v>
      </c>
      <c r="C2039">
        <v>5926317</v>
      </c>
      <c r="D2039">
        <v>21</v>
      </c>
      <c r="E2039" t="s">
        <v>15</v>
      </c>
      <c r="F2039" t="s">
        <v>5202</v>
      </c>
      <c r="G2039">
        <v>8</v>
      </c>
      <c r="K2039" t="s">
        <v>935</v>
      </c>
      <c r="L2039" t="s">
        <v>5203</v>
      </c>
      <c r="M2039" s="3" t="str">
        <f>HYPERLINK("..\..\Imagery\ScannedPhotos\2004\CG04-173.1.jpg")</f>
        <v>..\..\Imagery\ScannedPhotos\2004\CG04-173.1.jpg</v>
      </c>
    </row>
    <row r="2040" spans="1:13" x14ac:dyDescent="0.25">
      <c r="A2040" t="s">
        <v>1974</v>
      </c>
      <c r="B2040">
        <v>495048</v>
      </c>
      <c r="C2040">
        <v>5926317</v>
      </c>
      <c r="D2040">
        <v>21</v>
      </c>
      <c r="E2040" t="s">
        <v>15</v>
      </c>
      <c r="F2040" t="s">
        <v>5204</v>
      </c>
      <c r="G2040">
        <v>8</v>
      </c>
      <c r="K2040" t="s">
        <v>56</v>
      </c>
      <c r="L2040" t="s">
        <v>5205</v>
      </c>
      <c r="M2040" s="3" t="str">
        <f>HYPERLINK("..\..\Imagery\ScannedPhotos\2004\CG04-173.2.jpg")</f>
        <v>..\..\Imagery\ScannedPhotos\2004\CG04-173.2.jpg</v>
      </c>
    </row>
    <row r="2041" spans="1:13" x14ac:dyDescent="0.25">
      <c r="A2041" t="s">
        <v>1974</v>
      </c>
      <c r="B2041">
        <v>495048</v>
      </c>
      <c r="C2041">
        <v>5926317</v>
      </c>
      <c r="D2041">
        <v>21</v>
      </c>
      <c r="E2041" t="s">
        <v>15</v>
      </c>
      <c r="F2041" t="s">
        <v>5206</v>
      </c>
      <c r="G2041">
        <v>8</v>
      </c>
      <c r="K2041" t="s">
        <v>56</v>
      </c>
      <c r="L2041" t="s">
        <v>5205</v>
      </c>
      <c r="M2041" s="3" t="str">
        <f>HYPERLINK("..\..\Imagery\ScannedPhotos\2004\CG04-173.3.jpg")</f>
        <v>..\..\Imagery\ScannedPhotos\2004\CG04-173.3.jpg</v>
      </c>
    </row>
    <row r="2042" spans="1:13" x14ac:dyDescent="0.25">
      <c r="A2042" t="s">
        <v>1974</v>
      </c>
      <c r="B2042">
        <v>495048</v>
      </c>
      <c r="C2042">
        <v>5926317</v>
      </c>
      <c r="D2042">
        <v>21</v>
      </c>
      <c r="E2042" t="s">
        <v>15</v>
      </c>
      <c r="F2042" t="s">
        <v>5207</v>
      </c>
      <c r="G2042">
        <v>8</v>
      </c>
      <c r="K2042" t="s">
        <v>935</v>
      </c>
      <c r="L2042" t="s">
        <v>5208</v>
      </c>
      <c r="M2042" s="3" t="str">
        <f>HYPERLINK("..\..\Imagery\ScannedPhotos\2004\CG04-173.4.jpg")</f>
        <v>..\..\Imagery\ScannedPhotos\2004\CG04-173.4.jpg</v>
      </c>
    </row>
    <row r="2043" spans="1:13" x14ac:dyDescent="0.25">
      <c r="A2043" t="s">
        <v>1974</v>
      </c>
      <c r="B2043">
        <v>495048</v>
      </c>
      <c r="C2043">
        <v>5926317</v>
      </c>
      <c r="D2043">
        <v>21</v>
      </c>
      <c r="E2043" t="s">
        <v>15</v>
      </c>
      <c r="F2043" t="s">
        <v>5209</v>
      </c>
      <c r="G2043">
        <v>8</v>
      </c>
      <c r="K2043" t="s">
        <v>935</v>
      </c>
      <c r="L2043" t="s">
        <v>5210</v>
      </c>
      <c r="M2043" s="3" t="str">
        <f>HYPERLINK("..\..\Imagery\ScannedPhotos\2004\CG04-173.5.jpg")</f>
        <v>..\..\Imagery\ScannedPhotos\2004\CG04-173.5.jpg</v>
      </c>
    </row>
    <row r="2044" spans="1:13" x14ac:dyDescent="0.25">
      <c r="A2044" t="s">
        <v>5211</v>
      </c>
      <c r="B2044">
        <v>471924</v>
      </c>
      <c r="C2044">
        <v>5937472</v>
      </c>
      <c r="D2044">
        <v>21</v>
      </c>
      <c r="E2044" t="s">
        <v>15</v>
      </c>
      <c r="F2044" t="s">
        <v>5212</v>
      </c>
      <c r="G2044">
        <v>1</v>
      </c>
      <c r="H2044" t="s">
        <v>1480</v>
      </c>
      <c r="I2044" t="s">
        <v>647</v>
      </c>
      <c r="J2044" t="s">
        <v>48</v>
      </c>
      <c r="K2044" t="s">
        <v>20</v>
      </c>
      <c r="L2044" t="s">
        <v>2703</v>
      </c>
      <c r="M2044" s="3" t="str">
        <f>HYPERLINK("..\..\Imagery\ScannedPhotos\1981\CG81-160.jpg")</f>
        <v>..\..\Imagery\ScannedPhotos\1981\CG81-160.jpg</v>
      </c>
    </row>
    <row r="2045" spans="1:13" x14ac:dyDescent="0.25">
      <c r="A2045" t="s">
        <v>5213</v>
      </c>
      <c r="B2045">
        <v>471748</v>
      </c>
      <c r="C2045">
        <v>5937053</v>
      </c>
      <c r="D2045">
        <v>21</v>
      </c>
      <c r="E2045" t="s">
        <v>15</v>
      </c>
      <c r="F2045" t="s">
        <v>5214</v>
      </c>
      <c r="G2045">
        <v>2</v>
      </c>
      <c r="H2045" t="s">
        <v>1480</v>
      </c>
      <c r="I2045" t="s">
        <v>25</v>
      </c>
      <c r="J2045" t="s">
        <v>48</v>
      </c>
      <c r="K2045" t="s">
        <v>20</v>
      </c>
      <c r="L2045" t="s">
        <v>1020</v>
      </c>
      <c r="M2045" s="3" t="str">
        <f>HYPERLINK("..\..\Imagery\ScannedPhotos\1981\CG81-161.2.jpg")</f>
        <v>..\..\Imagery\ScannedPhotos\1981\CG81-161.2.jpg</v>
      </c>
    </row>
    <row r="2046" spans="1:13" x14ac:dyDescent="0.25">
      <c r="A2046" t="s">
        <v>5213</v>
      </c>
      <c r="B2046">
        <v>471748</v>
      </c>
      <c r="C2046">
        <v>5937053</v>
      </c>
      <c r="D2046">
        <v>21</v>
      </c>
      <c r="E2046" t="s">
        <v>15</v>
      </c>
      <c r="F2046" t="s">
        <v>5215</v>
      </c>
      <c r="G2046">
        <v>2</v>
      </c>
      <c r="H2046" t="s">
        <v>107</v>
      </c>
      <c r="I2046" t="s">
        <v>85</v>
      </c>
      <c r="J2046" t="s">
        <v>48</v>
      </c>
      <c r="K2046" t="s">
        <v>20</v>
      </c>
      <c r="L2046" t="s">
        <v>1020</v>
      </c>
      <c r="M2046" s="3" t="str">
        <f>HYPERLINK("..\..\Imagery\ScannedPhotos\1981\CG81-161.1.jpg")</f>
        <v>..\..\Imagery\ScannedPhotos\1981\CG81-161.1.jpg</v>
      </c>
    </row>
    <row r="2047" spans="1:13" x14ac:dyDescent="0.25">
      <c r="A2047" t="s">
        <v>3939</v>
      </c>
      <c r="B2047">
        <v>547654</v>
      </c>
      <c r="C2047">
        <v>5822263</v>
      </c>
      <c r="D2047">
        <v>21</v>
      </c>
      <c r="E2047" t="s">
        <v>15</v>
      </c>
      <c r="F2047" t="s">
        <v>5216</v>
      </c>
      <c r="G2047">
        <v>1</v>
      </c>
      <c r="H2047" t="s">
        <v>1232</v>
      </c>
      <c r="I2047" t="s">
        <v>386</v>
      </c>
      <c r="J2047" t="s">
        <v>1233</v>
      </c>
      <c r="K2047" t="s">
        <v>535</v>
      </c>
      <c r="L2047" t="s">
        <v>5217</v>
      </c>
      <c r="M2047" s="3" t="str">
        <f>HYPERLINK("..\..\Imagery\ScannedPhotos\1986\CG86-088.9.jpg")</f>
        <v>..\..\Imagery\ScannedPhotos\1986\CG86-088.9.jpg</v>
      </c>
    </row>
    <row r="2048" spans="1:13" x14ac:dyDescent="0.25">
      <c r="A2048" t="s">
        <v>5218</v>
      </c>
      <c r="B2048">
        <v>520536</v>
      </c>
      <c r="C2048">
        <v>5853375</v>
      </c>
      <c r="D2048">
        <v>21</v>
      </c>
      <c r="E2048" t="s">
        <v>15</v>
      </c>
      <c r="F2048" t="s">
        <v>5219</v>
      </c>
      <c r="G2048">
        <v>1</v>
      </c>
      <c r="H2048" t="s">
        <v>299</v>
      </c>
      <c r="I2048" t="s">
        <v>25</v>
      </c>
      <c r="J2048" t="s">
        <v>300</v>
      </c>
      <c r="K2048" t="s">
        <v>56</v>
      </c>
      <c r="L2048" t="s">
        <v>1719</v>
      </c>
      <c r="M2048" s="3" t="str">
        <f>HYPERLINK("..\..\Imagery\ScannedPhotos\1986\MN86-175.jpg")</f>
        <v>..\..\Imagery\ScannedPhotos\1986\MN86-175.jpg</v>
      </c>
    </row>
    <row r="2049" spans="1:13" x14ac:dyDescent="0.25">
      <c r="A2049" t="s">
        <v>5220</v>
      </c>
      <c r="B2049">
        <v>543275</v>
      </c>
      <c r="C2049">
        <v>5958682</v>
      </c>
      <c r="D2049">
        <v>21</v>
      </c>
      <c r="E2049" t="s">
        <v>15</v>
      </c>
      <c r="F2049" t="s">
        <v>5221</v>
      </c>
      <c r="G2049">
        <v>2</v>
      </c>
      <c r="H2049" t="s">
        <v>221</v>
      </c>
      <c r="I2049" t="s">
        <v>35</v>
      </c>
      <c r="J2049" t="s">
        <v>48</v>
      </c>
      <c r="K2049" t="s">
        <v>20</v>
      </c>
      <c r="L2049" t="s">
        <v>5222</v>
      </c>
      <c r="M2049" s="3" t="str">
        <f>HYPERLINK("..\..\Imagery\ScannedPhotos\1981\CG81-317.1.jpg")</f>
        <v>..\..\Imagery\ScannedPhotos\1981\CG81-317.1.jpg</v>
      </c>
    </row>
    <row r="2050" spans="1:13" x14ac:dyDescent="0.25">
      <c r="A2050" t="s">
        <v>5223</v>
      </c>
      <c r="B2050">
        <v>568443</v>
      </c>
      <c r="C2050">
        <v>5850745</v>
      </c>
      <c r="D2050">
        <v>21</v>
      </c>
      <c r="E2050" t="s">
        <v>15</v>
      </c>
      <c r="F2050" t="s">
        <v>5224</v>
      </c>
      <c r="G2050">
        <v>1</v>
      </c>
      <c r="H2050" t="s">
        <v>99</v>
      </c>
      <c r="I2050" t="s">
        <v>647</v>
      </c>
      <c r="J2050" t="s">
        <v>100</v>
      </c>
      <c r="K2050" t="s">
        <v>20</v>
      </c>
      <c r="L2050" t="s">
        <v>5225</v>
      </c>
      <c r="M2050" s="3" t="str">
        <f>HYPERLINK("..\..\Imagery\ScannedPhotos\1986\MN86-388.jpg")</f>
        <v>..\..\Imagery\ScannedPhotos\1986\MN86-388.jpg</v>
      </c>
    </row>
    <row r="2051" spans="1:13" x14ac:dyDescent="0.25">
      <c r="A2051" t="s">
        <v>5226</v>
      </c>
      <c r="B2051">
        <v>579748</v>
      </c>
      <c r="C2051">
        <v>5833806</v>
      </c>
      <c r="D2051">
        <v>21</v>
      </c>
      <c r="E2051" t="s">
        <v>15</v>
      </c>
      <c r="F2051" t="s">
        <v>5227</v>
      </c>
      <c r="G2051">
        <v>2</v>
      </c>
      <c r="H2051" t="s">
        <v>1750</v>
      </c>
      <c r="I2051" t="s">
        <v>47</v>
      </c>
      <c r="J2051" t="s">
        <v>1751</v>
      </c>
      <c r="K2051" t="s">
        <v>20</v>
      </c>
      <c r="L2051" t="s">
        <v>5228</v>
      </c>
      <c r="M2051" s="3" t="str">
        <f>HYPERLINK("..\..\Imagery\ScannedPhotos\1986\MN86-401.2.jpg")</f>
        <v>..\..\Imagery\ScannedPhotos\1986\MN86-401.2.jpg</v>
      </c>
    </row>
    <row r="2052" spans="1:13" x14ac:dyDescent="0.25">
      <c r="A2052" t="s">
        <v>5229</v>
      </c>
      <c r="B2052">
        <v>377677</v>
      </c>
      <c r="C2052">
        <v>6089307</v>
      </c>
      <c r="D2052">
        <v>21</v>
      </c>
      <c r="E2052" t="s">
        <v>15</v>
      </c>
      <c r="F2052" t="s">
        <v>5230</v>
      </c>
      <c r="G2052">
        <v>1</v>
      </c>
      <c r="H2052" t="s">
        <v>1623</v>
      </c>
      <c r="I2052" t="s">
        <v>222</v>
      </c>
      <c r="J2052" t="s">
        <v>1624</v>
      </c>
      <c r="K2052" t="s">
        <v>20</v>
      </c>
      <c r="L2052" t="s">
        <v>5231</v>
      </c>
      <c r="M2052" s="3" t="str">
        <f>HYPERLINK("..\..\Imagery\ScannedPhotos\1978\AL78-034.jpg")</f>
        <v>..\..\Imagery\ScannedPhotos\1978\AL78-034.jpg</v>
      </c>
    </row>
    <row r="2053" spans="1:13" x14ac:dyDescent="0.25">
      <c r="A2053" t="s">
        <v>596</v>
      </c>
      <c r="B2053">
        <v>520167</v>
      </c>
      <c r="C2053">
        <v>5717375</v>
      </c>
      <c r="D2053">
        <v>21</v>
      </c>
      <c r="E2053" t="s">
        <v>15</v>
      </c>
      <c r="F2053" t="s">
        <v>5232</v>
      </c>
      <c r="G2053">
        <v>4</v>
      </c>
      <c r="H2053" t="s">
        <v>569</v>
      </c>
      <c r="I2053" t="s">
        <v>214</v>
      </c>
      <c r="J2053" t="s">
        <v>570</v>
      </c>
      <c r="K2053" t="s">
        <v>56</v>
      </c>
      <c r="L2053" t="s">
        <v>5233</v>
      </c>
      <c r="M2053" s="3" t="str">
        <f>HYPERLINK("..\..\Imagery\ScannedPhotos\1993\CG93-206.3.jpg")</f>
        <v>..\..\Imagery\ScannedPhotos\1993\CG93-206.3.jpg</v>
      </c>
    </row>
    <row r="2054" spans="1:13" x14ac:dyDescent="0.25">
      <c r="A2054" t="s">
        <v>5133</v>
      </c>
      <c r="B2054">
        <v>376336</v>
      </c>
      <c r="C2054">
        <v>5910174</v>
      </c>
      <c r="D2054">
        <v>21</v>
      </c>
      <c r="E2054" t="s">
        <v>15</v>
      </c>
      <c r="F2054" t="s">
        <v>5234</v>
      </c>
      <c r="G2054">
        <v>2</v>
      </c>
      <c r="H2054" t="s">
        <v>562</v>
      </c>
      <c r="I2054" t="s">
        <v>114</v>
      </c>
      <c r="J2054" t="s">
        <v>563</v>
      </c>
      <c r="K2054" t="s">
        <v>56</v>
      </c>
      <c r="L2054" t="s">
        <v>4497</v>
      </c>
      <c r="M2054" s="3" t="str">
        <f>HYPERLINK("..\..\Imagery\ScannedPhotos\1995\VN95-148.2.jpg")</f>
        <v>..\..\Imagery\ScannedPhotos\1995\VN95-148.2.jpg</v>
      </c>
    </row>
    <row r="2055" spans="1:13" x14ac:dyDescent="0.25">
      <c r="A2055" t="s">
        <v>5235</v>
      </c>
      <c r="B2055">
        <v>446090</v>
      </c>
      <c r="C2055">
        <v>5776645</v>
      </c>
      <c r="D2055">
        <v>21</v>
      </c>
      <c r="E2055" t="s">
        <v>15</v>
      </c>
      <c r="F2055" t="s">
        <v>5236</v>
      </c>
      <c r="G2055">
        <v>1</v>
      </c>
      <c r="H2055" t="s">
        <v>1107</v>
      </c>
      <c r="I2055" t="s">
        <v>304</v>
      </c>
      <c r="J2055" t="s">
        <v>747</v>
      </c>
      <c r="K2055" t="s">
        <v>56</v>
      </c>
      <c r="L2055" t="s">
        <v>5237</v>
      </c>
      <c r="M2055" s="3" t="str">
        <f>HYPERLINK("..\..\Imagery\ScannedPhotos\1992\CG92-139.jpg")</f>
        <v>..\..\Imagery\ScannedPhotos\1992\CG92-139.jpg</v>
      </c>
    </row>
    <row r="2056" spans="1:13" x14ac:dyDescent="0.25">
      <c r="A2056" t="s">
        <v>5238</v>
      </c>
      <c r="B2056">
        <v>445811</v>
      </c>
      <c r="C2056">
        <v>5775673</v>
      </c>
      <c r="D2056">
        <v>21</v>
      </c>
      <c r="E2056" t="s">
        <v>15</v>
      </c>
      <c r="F2056" t="s">
        <v>5239</v>
      </c>
      <c r="G2056">
        <v>1</v>
      </c>
      <c r="H2056" t="s">
        <v>1107</v>
      </c>
      <c r="I2056" t="s">
        <v>195</v>
      </c>
      <c r="J2056" t="s">
        <v>747</v>
      </c>
      <c r="K2056" t="s">
        <v>20</v>
      </c>
      <c r="L2056" t="s">
        <v>5240</v>
      </c>
      <c r="M2056" s="3" t="str">
        <f>HYPERLINK("..\..\Imagery\ScannedPhotos\1992\CG92-140.jpg")</f>
        <v>..\..\Imagery\ScannedPhotos\1992\CG92-140.jpg</v>
      </c>
    </row>
    <row r="2057" spans="1:13" x14ac:dyDescent="0.25">
      <c r="A2057" t="s">
        <v>5241</v>
      </c>
      <c r="B2057">
        <v>424465</v>
      </c>
      <c r="C2057">
        <v>5801110</v>
      </c>
      <c r="D2057">
        <v>21</v>
      </c>
      <c r="E2057" t="s">
        <v>15</v>
      </c>
      <c r="F2057" t="s">
        <v>5242</v>
      </c>
      <c r="G2057">
        <v>2</v>
      </c>
      <c r="H2057" t="s">
        <v>738</v>
      </c>
      <c r="I2057" t="s">
        <v>94</v>
      </c>
      <c r="J2057" t="s">
        <v>739</v>
      </c>
      <c r="K2057" t="s">
        <v>20</v>
      </c>
      <c r="L2057" t="s">
        <v>5243</v>
      </c>
      <c r="M2057" s="3" t="str">
        <f>HYPERLINK("..\..\Imagery\ScannedPhotos\1999\CG99-040.2.jpg")</f>
        <v>..\..\Imagery\ScannedPhotos\1999\CG99-040.2.jpg</v>
      </c>
    </row>
    <row r="2058" spans="1:13" x14ac:dyDescent="0.25">
      <c r="A2058" t="s">
        <v>5241</v>
      </c>
      <c r="B2058">
        <v>424465</v>
      </c>
      <c r="C2058">
        <v>5801110</v>
      </c>
      <c r="D2058">
        <v>21</v>
      </c>
      <c r="E2058" t="s">
        <v>15</v>
      </c>
      <c r="F2058" t="s">
        <v>5244</v>
      </c>
      <c r="G2058">
        <v>2</v>
      </c>
      <c r="H2058" t="s">
        <v>738</v>
      </c>
      <c r="I2058" t="s">
        <v>375</v>
      </c>
      <c r="J2058" t="s">
        <v>739</v>
      </c>
      <c r="K2058" t="s">
        <v>20</v>
      </c>
      <c r="L2058" t="s">
        <v>5245</v>
      </c>
      <c r="M2058" s="3" t="str">
        <f>HYPERLINK("..\..\Imagery\ScannedPhotos\1999\CG99-040.1.jpg")</f>
        <v>..\..\Imagery\ScannedPhotos\1999\CG99-040.1.jpg</v>
      </c>
    </row>
    <row r="2059" spans="1:13" x14ac:dyDescent="0.25">
      <c r="A2059" t="s">
        <v>2204</v>
      </c>
      <c r="B2059">
        <v>424526</v>
      </c>
      <c r="C2059">
        <v>5775876</v>
      </c>
      <c r="D2059">
        <v>21</v>
      </c>
      <c r="E2059" t="s">
        <v>15</v>
      </c>
      <c r="F2059" t="s">
        <v>5246</v>
      </c>
      <c r="G2059">
        <v>4</v>
      </c>
      <c r="H2059" t="s">
        <v>738</v>
      </c>
      <c r="I2059" t="s">
        <v>217</v>
      </c>
      <c r="J2059" t="s">
        <v>739</v>
      </c>
      <c r="K2059" t="s">
        <v>20</v>
      </c>
      <c r="L2059" t="s">
        <v>5247</v>
      </c>
      <c r="M2059" s="3" t="str">
        <f>HYPERLINK("..\..\Imagery\ScannedPhotos\1999\CG99-045.3.jpg")</f>
        <v>..\..\Imagery\ScannedPhotos\1999\CG99-045.3.jpg</v>
      </c>
    </row>
    <row r="2060" spans="1:13" x14ac:dyDescent="0.25">
      <c r="A2060" t="s">
        <v>2204</v>
      </c>
      <c r="B2060">
        <v>424526</v>
      </c>
      <c r="C2060">
        <v>5775876</v>
      </c>
      <c r="D2060">
        <v>21</v>
      </c>
      <c r="E2060" t="s">
        <v>15</v>
      </c>
      <c r="F2060" t="s">
        <v>5248</v>
      </c>
      <c r="G2060">
        <v>4</v>
      </c>
      <c r="H2060" t="s">
        <v>738</v>
      </c>
      <c r="I2060" t="s">
        <v>386</v>
      </c>
      <c r="J2060" t="s">
        <v>739</v>
      </c>
      <c r="K2060" t="s">
        <v>56</v>
      </c>
      <c r="L2060" t="s">
        <v>2206</v>
      </c>
      <c r="M2060" s="3" t="str">
        <f>HYPERLINK("..\..\Imagery\ScannedPhotos\1999\CG99-045.2.jpg")</f>
        <v>..\..\Imagery\ScannedPhotos\1999\CG99-045.2.jpg</v>
      </c>
    </row>
    <row r="2061" spans="1:13" x14ac:dyDescent="0.25">
      <c r="A2061" t="s">
        <v>2204</v>
      </c>
      <c r="B2061">
        <v>424526</v>
      </c>
      <c r="C2061">
        <v>5775876</v>
      </c>
      <c r="D2061">
        <v>21</v>
      </c>
      <c r="E2061" t="s">
        <v>15</v>
      </c>
      <c r="F2061" t="s">
        <v>5249</v>
      </c>
      <c r="G2061">
        <v>4</v>
      </c>
      <c r="H2061" t="s">
        <v>738</v>
      </c>
      <c r="I2061" t="s">
        <v>214</v>
      </c>
      <c r="J2061" t="s">
        <v>739</v>
      </c>
      <c r="K2061" t="s">
        <v>20</v>
      </c>
      <c r="L2061" t="s">
        <v>5250</v>
      </c>
      <c r="M2061" s="3" t="str">
        <f>HYPERLINK("..\..\Imagery\ScannedPhotos\1999\CG99-045.4.jpg")</f>
        <v>..\..\Imagery\ScannedPhotos\1999\CG99-045.4.jpg</v>
      </c>
    </row>
    <row r="2062" spans="1:13" x14ac:dyDescent="0.25">
      <c r="A2062" t="s">
        <v>1748</v>
      </c>
      <c r="B2062">
        <v>558172</v>
      </c>
      <c r="C2062">
        <v>5813098</v>
      </c>
      <c r="D2062">
        <v>21</v>
      </c>
      <c r="E2062" t="s">
        <v>15</v>
      </c>
      <c r="F2062" t="s">
        <v>5251</v>
      </c>
      <c r="G2062">
        <v>10</v>
      </c>
      <c r="H2062" t="s">
        <v>1750</v>
      </c>
      <c r="I2062" t="s">
        <v>217</v>
      </c>
      <c r="J2062" t="s">
        <v>1751</v>
      </c>
      <c r="K2062" t="s">
        <v>56</v>
      </c>
      <c r="L2062" t="s">
        <v>1756</v>
      </c>
      <c r="M2062" s="3" t="str">
        <f>HYPERLINK("..\..\Imagery\ScannedPhotos\1987\CG87-055.6.jpg")</f>
        <v>..\..\Imagery\ScannedPhotos\1987\CG87-055.6.jpg</v>
      </c>
    </row>
    <row r="2063" spans="1:13" x14ac:dyDescent="0.25">
      <c r="A2063" t="s">
        <v>1246</v>
      </c>
      <c r="B2063">
        <v>518623</v>
      </c>
      <c r="C2063">
        <v>5840280</v>
      </c>
      <c r="D2063">
        <v>21</v>
      </c>
      <c r="E2063" t="s">
        <v>15</v>
      </c>
      <c r="F2063" t="s">
        <v>5252</v>
      </c>
      <c r="G2063">
        <v>2</v>
      </c>
      <c r="H2063" t="s">
        <v>1232</v>
      </c>
      <c r="I2063" t="s">
        <v>401</v>
      </c>
      <c r="J2063" t="s">
        <v>1233</v>
      </c>
      <c r="K2063" t="s">
        <v>20</v>
      </c>
      <c r="L2063" t="s">
        <v>5253</v>
      </c>
      <c r="M2063" s="3" t="str">
        <f>HYPERLINK("..\..\Imagery\ScannedPhotos\1986\CG86-310.2.jpg")</f>
        <v>..\..\Imagery\ScannedPhotos\1986\CG86-310.2.jpg</v>
      </c>
    </row>
    <row r="2064" spans="1:13" x14ac:dyDescent="0.25">
      <c r="A2064" t="s">
        <v>2795</v>
      </c>
      <c r="B2064">
        <v>491150</v>
      </c>
      <c r="C2064">
        <v>5841700</v>
      </c>
      <c r="D2064">
        <v>21</v>
      </c>
      <c r="E2064" t="s">
        <v>15</v>
      </c>
      <c r="F2064" t="s">
        <v>5254</v>
      </c>
      <c r="G2064">
        <v>2</v>
      </c>
      <c r="H2064" t="s">
        <v>40</v>
      </c>
      <c r="I2064" t="s">
        <v>85</v>
      </c>
      <c r="J2064" t="s">
        <v>42</v>
      </c>
      <c r="K2064" t="s">
        <v>20</v>
      </c>
      <c r="L2064" t="s">
        <v>5255</v>
      </c>
      <c r="M2064" s="3" t="str">
        <f>HYPERLINK("..\..\Imagery\ScannedPhotos\1991\DD91-048.1.jpg")</f>
        <v>..\..\Imagery\ScannedPhotos\1991\DD91-048.1.jpg</v>
      </c>
    </row>
    <row r="2065" spans="1:13" x14ac:dyDescent="0.25">
      <c r="A2065" t="s">
        <v>643</v>
      </c>
      <c r="B2065">
        <v>478407</v>
      </c>
      <c r="C2065">
        <v>5938436</v>
      </c>
      <c r="D2065">
        <v>21</v>
      </c>
      <c r="E2065" t="s">
        <v>15</v>
      </c>
      <c r="F2065" t="s">
        <v>5256</v>
      </c>
      <c r="G2065">
        <v>4</v>
      </c>
      <c r="H2065" t="s">
        <v>632</v>
      </c>
      <c r="I2065" t="s">
        <v>114</v>
      </c>
      <c r="J2065" t="s">
        <v>633</v>
      </c>
      <c r="K2065" t="s">
        <v>20</v>
      </c>
      <c r="L2065" t="s">
        <v>5257</v>
      </c>
      <c r="M2065" s="3" t="str">
        <f>HYPERLINK("..\..\Imagery\ScannedPhotos\1977\MC77-097.4.jpg")</f>
        <v>..\..\Imagery\ScannedPhotos\1977\MC77-097.4.jpg</v>
      </c>
    </row>
    <row r="2066" spans="1:13" x14ac:dyDescent="0.25">
      <c r="A2066" t="s">
        <v>4991</v>
      </c>
      <c r="B2066">
        <v>341435</v>
      </c>
      <c r="C2066">
        <v>5779621</v>
      </c>
      <c r="D2066">
        <v>21</v>
      </c>
      <c r="E2066" t="s">
        <v>15</v>
      </c>
      <c r="F2066" t="s">
        <v>5258</v>
      </c>
      <c r="G2066">
        <v>2</v>
      </c>
      <c r="H2066" t="s">
        <v>78</v>
      </c>
      <c r="I2066" t="s">
        <v>129</v>
      </c>
      <c r="J2066" t="s">
        <v>80</v>
      </c>
      <c r="K2066" t="s">
        <v>20</v>
      </c>
      <c r="L2066" t="s">
        <v>5259</v>
      </c>
      <c r="M2066" s="3" t="str">
        <f>HYPERLINK("..\..\Imagery\ScannedPhotos\2000\CG00-199.1.jpg")</f>
        <v>..\..\Imagery\ScannedPhotos\2000\CG00-199.1.jpg</v>
      </c>
    </row>
    <row r="2067" spans="1:13" x14ac:dyDescent="0.25">
      <c r="A2067" t="s">
        <v>3290</v>
      </c>
      <c r="B2067">
        <v>483855</v>
      </c>
      <c r="C2067">
        <v>5927051</v>
      </c>
      <c r="D2067">
        <v>21</v>
      </c>
      <c r="E2067" t="s">
        <v>15</v>
      </c>
      <c r="F2067" t="s">
        <v>5260</v>
      </c>
      <c r="G2067">
        <v>5</v>
      </c>
      <c r="H2067" t="s">
        <v>632</v>
      </c>
      <c r="I2067" t="s">
        <v>375</v>
      </c>
      <c r="J2067" t="s">
        <v>633</v>
      </c>
      <c r="K2067" t="s">
        <v>20</v>
      </c>
      <c r="L2067" t="s">
        <v>1754</v>
      </c>
      <c r="M2067" s="3" t="str">
        <f>HYPERLINK("..\..\Imagery\ScannedPhotos\1977\MC77-081.2.jpg")</f>
        <v>..\..\Imagery\ScannedPhotos\1977\MC77-081.2.jpg</v>
      </c>
    </row>
    <row r="2068" spans="1:13" x14ac:dyDescent="0.25">
      <c r="A2068" t="s">
        <v>3290</v>
      </c>
      <c r="B2068">
        <v>483855</v>
      </c>
      <c r="C2068">
        <v>5927051</v>
      </c>
      <c r="D2068">
        <v>21</v>
      </c>
      <c r="E2068" t="s">
        <v>15</v>
      </c>
      <c r="F2068" t="s">
        <v>5261</v>
      </c>
      <c r="G2068">
        <v>5</v>
      </c>
      <c r="H2068" t="s">
        <v>632</v>
      </c>
      <c r="I2068" t="s">
        <v>386</v>
      </c>
      <c r="J2068" t="s">
        <v>633</v>
      </c>
      <c r="K2068" t="s">
        <v>20</v>
      </c>
      <c r="L2068" t="s">
        <v>3815</v>
      </c>
      <c r="M2068" s="3" t="str">
        <f>HYPERLINK("..\..\Imagery\ScannedPhotos\1977\MC77-081.5.jpg")</f>
        <v>..\..\Imagery\ScannedPhotos\1977\MC77-081.5.jpg</v>
      </c>
    </row>
    <row r="2069" spans="1:13" x14ac:dyDescent="0.25">
      <c r="A2069" t="s">
        <v>2261</v>
      </c>
      <c r="B2069">
        <v>574669</v>
      </c>
      <c r="C2069">
        <v>5832629</v>
      </c>
      <c r="D2069">
        <v>21</v>
      </c>
      <c r="E2069" t="s">
        <v>15</v>
      </c>
      <c r="F2069" t="s">
        <v>5262</v>
      </c>
      <c r="G2069">
        <v>2</v>
      </c>
      <c r="H2069" t="s">
        <v>1759</v>
      </c>
      <c r="I2069" t="s">
        <v>294</v>
      </c>
      <c r="J2069" t="s">
        <v>36</v>
      </c>
      <c r="K2069" t="s">
        <v>20</v>
      </c>
      <c r="L2069" t="s">
        <v>2263</v>
      </c>
      <c r="M2069" s="3" t="str">
        <f>HYPERLINK("..\..\Imagery\ScannedPhotos\1986\JS86-451.1.jpg")</f>
        <v>..\..\Imagery\ScannedPhotos\1986\JS86-451.1.jpg</v>
      </c>
    </row>
    <row r="2070" spans="1:13" x14ac:dyDescent="0.25">
      <c r="A2070" t="s">
        <v>2731</v>
      </c>
      <c r="B2070">
        <v>579966</v>
      </c>
      <c r="C2070">
        <v>5850649</v>
      </c>
      <c r="D2070">
        <v>21</v>
      </c>
      <c r="E2070" t="s">
        <v>15</v>
      </c>
      <c r="F2070" t="s">
        <v>5263</v>
      </c>
      <c r="G2070">
        <v>18</v>
      </c>
      <c r="H2070" t="s">
        <v>2945</v>
      </c>
      <c r="I2070" t="s">
        <v>114</v>
      </c>
      <c r="J2070" t="s">
        <v>300</v>
      </c>
      <c r="K2070" t="s">
        <v>56</v>
      </c>
      <c r="L2070" t="s">
        <v>5264</v>
      </c>
      <c r="M2070" s="3" t="str">
        <f>HYPERLINK("..\..\Imagery\ScannedPhotos\1986\CG86-528.1.jpg")</f>
        <v>..\..\Imagery\ScannedPhotos\1986\CG86-528.1.jpg</v>
      </c>
    </row>
    <row r="2071" spans="1:13" x14ac:dyDescent="0.25">
      <c r="A2071" t="s">
        <v>4397</v>
      </c>
      <c r="B2071">
        <v>591006</v>
      </c>
      <c r="C2071">
        <v>5806307</v>
      </c>
      <c r="D2071">
        <v>21</v>
      </c>
      <c r="E2071" t="s">
        <v>15</v>
      </c>
      <c r="F2071" t="s">
        <v>5265</v>
      </c>
      <c r="G2071">
        <v>5</v>
      </c>
      <c r="H2071" t="s">
        <v>1688</v>
      </c>
      <c r="I2071" t="s">
        <v>222</v>
      </c>
      <c r="J2071" t="s">
        <v>1052</v>
      </c>
      <c r="K2071" t="s">
        <v>20</v>
      </c>
      <c r="L2071" t="s">
        <v>3952</v>
      </c>
      <c r="M2071" s="3" t="str">
        <f>HYPERLINK("..\..\Imagery\ScannedPhotos\1987\VN87-393.1.jpg")</f>
        <v>..\..\Imagery\ScannedPhotos\1987\VN87-393.1.jpg</v>
      </c>
    </row>
    <row r="2072" spans="1:13" x14ac:dyDescent="0.25">
      <c r="A2072" t="s">
        <v>5266</v>
      </c>
      <c r="B2072">
        <v>392278</v>
      </c>
      <c r="C2072">
        <v>5916452</v>
      </c>
      <c r="D2072">
        <v>21</v>
      </c>
      <c r="E2072" t="s">
        <v>15</v>
      </c>
      <c r="F2072" t="s">
        <v>5267</v>
      </c>
      <c r="G2072">
        <v>1</v>
      </c>
      <c r="H2072" t="s">
        <v>562</v>
      </c>
      <c r="I2072" t="s">
        <v>360</v>
      </c>
      <c r="J2072" t="s">
        <v>563</v>
      </c>
      <c r="K2072" t="s">
        <v>56</v>
      </c>
      <c r="L2072" t="s">
        <v>5268</v>
      </c>
      <c r="M2072" s="3" t="str">
        <f>HYPERLINK("..\..\Imagery\ScannedPhotos\1995\VN95-131.jpg")</f>
        <v>..\..\Imagery\ScannedPhotos\1995\VN95-131.jpg</v>
      </c>
    </row>
    <row r="2073" spans="1:13" x14ac:dyDescent="0.25">
      <c r="A2073" t="s">
        <v>1643</v>
      </c>
      <c r="B2073">
        <v>467438</v>
      </c>
      <c r="C2073">
        <v>6005579</v>
      </c>
      <c r="D2073">
        <v>21</v>
      </c>
      <c r="E2073" t="s">
        <v>15</v>
      </c>
      <c r="F2073" t="s">
        <v>5269</v>
      </c>
      <c r="G2073">
        <v>5</v>
      </c>
      <c r="H2073" t="s">
        <v>1636</v>
      </c>
      <c r="I2073" t="s">
        <v>30</v>
      </c>
      <c r="J2073" t="s">
        <v>652</v>
      </c>
      <c r="K2073" t="s">
        <v>20</v>
      </c>
      <c r="L2073" t="s">
        <v>1645</v>
      </c>
      <c r="M2073" s="3" t="str">
        <f>HYPERLINK("..\..\Imagery\ScannedPhotos\1980\CG80-321.2.jpg")</f>
        <v>..\..\Imagery\ScannedPhotos\1980\CG80-321.2.jpg</v>
      </c>
    </row>
    <row r="2074" spans="1:13" x14ac:dyDescent="0.25">
      <c r="A2074" t="s">
        <v>1643</v>
      </c>
      <c r="B2074">
        <v>467438</v>
      </c>
      <c r="C2074">
        <v>6005579</v>
      </c>
      <c r="D2074">
        <v>21</v>
      </c>
      <c r="E2074" t="s">
        <v>15</v>
      </c>
      <c r="F2074" t="s">
        <v>5270</v>
      </c>
      <c r="G2074">
        <v>5</v>
      </c>
      <c r="H2074" t="s">
        <v>1636</v>
      </c>
      <c r="I2074" t="s">
        <v>647</v>
      </c>
      <c r="J2074" t="s">
        <v>652</v>
      </c>
      <c r="K2074" t="s">
        <v>20</v>
      </c>
      <c r="L2074" t="s">
        <v>1645</v>
      </c>
      <c r="M2074" s="3" t="str">
        <f>HYPERLINK("..\..\Imagery\ScannedPhotos\1980\CG80-321.1.jpg")</f>
        <v>..\..\Imagery\ScannedPhotos\1980\CG80-321.1.jpg</v>
      </c>
    </row>
    <row r="2075" spans="1:13" x14ac:dyDescent="0.25">
      <c r="A2075" t="s">
        <v>2473</v>
      </c>
      <c r="B2075">
        <v>596408</v>
      </c>
      <c r="C2075">
        <v>5792857</v>
      </c>
      <c r="D2075">
        <v>21</v>
      </c>
      <c r="E2075" t="s">
        <v>15</v>
      </c>
      <c r="F2075" t="s">
        <v>5271</v>
      </c>
      <c r="G2075">
        <v>3</v>
      </c>
      <c r="K2075" t="s">
        <v>56</v>
      </c>
      <c r="L2075" t="s">
        <v>2477</v>
      </c>
      <c r="M2075" s="3" t="str">
        <f>HYPERLINK("..\..\Imagery\ScannedPhotos\2007\CG07-148.3.jpg")</f>
        <v>..\..\Imagery\ScannedPhotos\2007\CG07-148.3.jpg</v>
      </c>
    </row>
    <row r="2076" spans="1:13" x14ac:dyDescent="0.25">
      <c r="A2076" t="s">
        <v>5272</v>
      </c>
      <c r="B2076">
        <v>485767</v>
      </c>
      <c r="C2076">
        <v>5841850</v>
      </c>
      <c r="D2076">
        <v>21</v>
      </c>
      <c r="E2076" t="s">
        <v>15</v>
      </c>
      <c r="F2076" t="s">
        <v>5273</v>
      </c>
      <c r="G2076">
        <v>2</v>
      </c>
      <c r="H2076" t="s">
        <v>1128</v>
      </c>
      <c r="I2076" t="s">
        <v>143</v>
      </c>
      <c r="J2076" t="s">
        <v>1129</v>
      </c>
      <c r="K2076" t="s">
        <v>20</v>
      </c>
      <c r="L2076" t="s">
        <v>2309</v>
      </c>
      <c r="M2076" s="3" t="str">
        <f>HYPERLINK("..\..\Imagery\ScannedPhotos\1991\VN91-117.1.jpg")</f>
        <v>..\..\Imagery\ScannedPhotos\1991\VN91-117.1.jpg</v>
      </c>
    </row>
    <row r="2077" spans="1:13" x14ac:dyDescent="0.25">
      <c r="A2077" t="s">
        <v>5274</v>
      </c>
      <c r="B2077">
        <v>515883</v>
      </c>
      <c r="C2077">
        <v>5826521</v>
      </c>
      <c r="D2077">
        <v>21</v>
      </c>
      <c r="E2077" t="s">
        <v>15</v>
      </c>
      <c r="F2077" t="s">
        <v>5275</v>
      </c>
      <c r="G2077">
        <v>2</v>
      </c>
      <c r="H2077" t="s">
        <v>288</v>
      </c>
      <c r="I2077" t="s">
        <v>79</v>
      </c>
      <c r="J2077" t="s">
        <v>289</v>
      </c>
      <c r="K2077" t="s">
        <v>56</v>
      </c>
      <c r="L2077" t="s">
        <v>5276</v>
      </c>
      <c r="M2077" s="3" t="str">
        <f>HYPERLINK("..\..\Imagery\ScannedPhotos\1986\CG86-618.1.jpg")</f>
        <v>..\..\Imagery\ScannedPhotos\1986\CG86-618.1.jpg</v>
      </c>
    </row>
    <row r="2078" spans="1:13" x14ac:dyDescent="0.25">
      <c r="A2078" t="s">
        <v>859</v>
      </c>
      <c r="B2078">
        <v>480915</v>
      </c>
      <c r="C2078">
        <v>5931165</v>
      </c>
      <c r="D2078">
        <v>21</v>
      </c>
      <c r="E2078" t="s">
        <v>15</v>
      </c>
      <c r="F2078" t="s">
        <v>5277</v>
      </c>
      <c r="G2078">
        <v>10</v>
      </c>
      <c r="H2078" t="s">
        <v>201</v>
      </c>
      <c r="I2078" t="s">
        <v>147</v>
      </c>
      <c r="J2078" t="s">
        <v>202</v>
      </c>
      <c r="K2078" t="s">
        <v>56</v>
      </c>
      <c r="L2078" t="s">
        <v>5278</v>
      </c>
      <c r="M2078" s="3" t="str">
        <f>HYPERLINK("..\..\Imagery\ScannedPhotos\1984\CG84-436.5.jpg")</f>
        <v>..\..\Imagery\ScannedPhotos\1984\CG84-436.5.jpg</v>
      </c>
    </row>
    <row r="2079" spans="1:13" x14ac:dyDescent="0.25">
      <c r="A2079" t="s">
        <v>5279</v>
      </c>
      <c r="B2079">
        <v>564501</v>
      </c>
      <c r="C2079">
        <v>5845825</v>
      </c>
      <c r="D2079">
        <v>21</v>
      </c>
      <c r="E2079" t="s">
        <v>15</v>
      </c>
      <c r="F2079" t="s">
        <v>5280</v>
      </c>
      <c r="G2079">
        <v>2</v>
      </c>
      <c r="H2079" t="s">
        <v>3162</v>
      </c>
      <c r="I2079" t="s">
        <v>375</v>
      </c>
      <c r="J2079" t="s">
        <v>3163</v>
      </c>
      <c r="K2079" t="s">
        <v>20</v>
      </c>
      <c r="L2079" t="s">
        <v>5281</v>
      </c>
      <c r="M2079" s="3" t="str">
        <f>HYPERLINK("..\..\Imagery\ScannedPhotos\1986\SN86-338.1.jpg")</f>
        <v>..\..\Imagery\ScannedPhotos\1986\SN86-338.1.jpg</v>
      </c>
    </row>
    <row r="2080" spans="1:13" x14ac:dyDescent="0.25">
      <c r="A2080" t="s">
        <v>5279</v>
      </c>
      <c r="B2080">
        <v>564501</v>
      </c>
      <c r="C2080">
        <v>5845825</v>
      </c>
      <c r="D2080">
        <v>21</v>
      </c>
      <c r="E2080" t="s">
        <v>15</v>
      </c>
      <c r="F2080" t="s">
        <v>5282</v>
      </c>
      <c r="G2080">
        <v>2</v>
      </c>
      <c r="H2080" t="s">
        <v>3162</v>
      </c>
      <c r="I2080" t="s">
        <v>94</v>
      </c>
      <c r="J2080" t="s">
        <v>3163</v>
      </c>
      <c r="K2080" t="s">
        <v>20</v>
      </c>
      <c r="L2080" t="s">
        <v>5281</v>
      </c>
      <c r="M2080" s="3" t="str">
        <f>HYPERLINK("..\..\Imagery\ScannedPhotos\1986\SN86-338.2.jpg")</f>
        <v>..\..\Imagery\ScannedPhotos\1986\SN86-338.2.jpg</v>
      </c>
    </row>
    <row r="2081" spans="1:13" x14ac:dyDescent="0.25">
      <c r="A2081" t="s">
        <v>5283</v>
      </c>
      <c r="B2081">
        <v>563965</v>
      </c>
      <c r="C2081">
        <v>5846109</v>
      </c>
      <c r="D2081">
        <v>21</v>
      </c>
      <c r="E2081" t="s">
        <v>15</v>
      </c>
      <c r="F2081" t="s">
        <v>5284</v>
      </c>
      <c r="G2081">
        <v>2</v>
      </c>
      <c r="H2081" t="s">
        <v>3162</v>
      </c>
      <c r="I2081" t="s">
        <v>209</v>
      </c>
      <c r="J2081" t="s">
        <v>3163</v>
      </c>
      <c r="K2081" t="s">
        <v>20</v>
      </c>
      <c r="L2081" t="s">
        <v>5285</v>
      </c>
      <c r="M2081" s="3" t="str">
        <f>HYPERLINK("..\..\Imagery\ScannedPhotos\1986\SN86-340.1.jpg")</f>
        <v>..\..\Imagery\ScannedPhotos\1986\SN86-340.1.jpg</v>
      </c>
    </row>
    <row r="2082" spans="1:13" x14ac:dyDescent="0.25">
      <c r="A2082" t="s">
        <v>416</v>
      </c>
      <c r="B2082">
        <v>483744</v>
      </c>
      <c r="C2082">
        <v>5826065</v>
      </c>
      <c r="D2082">
        <v>21</v>
      </c>
      <c r="E2082" t="s">
        <v>15</v>
      </c>
      <c r="F2082" t="s">
        <v>5286</v>
      </c>
      <c r="G2082">
        <v>2</v>
      </c>
      <c r="H2082" t="s">
        <v>40</v>
      </c>
      <c r="I2082" t="s">
        <v>222</v>
      </c>
      <c r="J2082" t="s">
        <v>42</v>
      </c>
      <c r="K2082" t="s">
        <v>20</v>
      </c>
      <c r="L2082" t="s">
        <v>419</v>
      </c>
      <c r="M2082" s="3" t="str">
        <f>HYPERLINK("..\..\Imagery\ScannedPhotos\1991\DD91-051.1.jpg")</f>
        <v>..\..\Imagery\ScannedPhotos\1991\DD91-051.1.jpg</v>
      </c>
    </row>
    <row r="2083" spans="1:13" x14ac:dyDescent="0.25">
      <c r="A2083" t="s">
        <v>4804</v>
      </c>
      <c r="B2083">
        <v>535160</v>
      </c>
      <c r="C2083">
        <v>5733190</v>
      </c>
      <c r="D2083">
        <v>21</v>
      </c>
      <c r="E2083" t="s">
        <v>15</v>
      </c>
      <c r="F2083" t="s">
        <v>5287</v>
      </c>
      <c r="G2083">
        <v>8</v>
      </c>
      <c r="H2083" t="s">
        <v>2355</v>
      </c>
      <c r="I2083" t="s">
        <v>386</v>
      </c>
      <c r="J2083" t="s">
        <v>886</v>
      </c>
      <c r="K2083" t="s">
        <v>20</v>
      </c>
      <c r="L2083" t="s">
        <v>5288</v>
      </c>
      <c r="M2083" s="3" t="str">
        <f>HYPERLINK("..\..\Imagery\ScannedPhotos\1993\VN93-048.8.jpg")</f>
        <v>..\..\Imagery\ScannedPhotos\1993\VN93-048.8.jpg</v>
      </c>
    </row>
    <row r="2084" spans="1:13" x14ac:dyDescent="0.25">
      <c r="A2084" t="s">
        <v>5289</v>
      </c>
      <c r="B2084">
        <v>388158</v>
      </c>
      <c r="C2084">
        <v>5817673</v>
      </c>
      <c r="D2084">
        <v>21</v>
      </c>
      <c r="E2084" t="s">
        <v>15</v>
      </c>
      <c r="F2084" t="s">
        <v>5290</v>
      </c>
      <c r="G2084">
        <v>1</v>
      </c>
      <c r="H2084" t="s">
        <v>4033</v>
      </c>
      <c r="I2084" t="s">
        <v>217</v>
      </c>
      <c r="J2084" t="s">
        <v>4034</v>
      </c>
      <c r="K2084" t="s">
        <v>228</v>
      </c>
      <c r="L2084" t="s">
        <v>5291</v>
      </c>
      <c r="M2084" s="3" t="str">
        <f>HYPERLINK("..\..\Imagery\ScannedPhotos\1999\CG99-177.jpg")</f>
        <v>..\..\Imagery\ScannedPhotos\1999\CG99-177.jpg</v>
      </c>
    </row>
    <row r="2085" spans="1:13" x14ac:dyDescent="0.25">
      <c r="A2085" t="s">
        <v>5292</v>
      </c>
      <c r="B2085">
        <v>387169</v>
      </c>
      <c r="C2085">
        <v>5805672</v>
      </c>
      <c r="D2085">
        <v>21</v>
      </c>
      <c r="E2085" t="s">
        <v>15</v>
      </c>
      <c r="F2085" t="s">
        <v>5293</v>
      </c>
      <c r="G2085">
        <v>1</v>
      </c>
      <c r="H2085" t="s">
        <v>4033</v>
      </c>
      <c r="I2085" t="s">
        <v>69</v>
      </c>
      <c r="J2085" t="s">
        <v>4034</v>
      </c>
      <c r="K2085" t="s">
        <v>56</v>
      </c>
      <c r="L2085" t="s">
        <v>5294</v>
      </c>
      <c r="M2085" s="3" t="str">
        <f>HYPERLINK("..\..\Imagery\ScannedPhotos\1999\CG99-182.jpg")</f>
        <v>..\..\Imagery\ScannedPhotos\1999\CG99-182.jpg</v>
      </c>
    </row>
    <row r="2086" spans="1:13" x14ac:dyDescent="0.25">
      <c r="A2086" t="s">
        <v>5295</v>
      </c>
      <c r="B2086">
        <v>385116</v>
      </c>
      <c r="C2086">
        <v>5791273</v>
      </c>
      <c r="D2086">
        <v>21</v>
      </c>
      <c r="E2086" t="s">
        <v>15</v>
      </c>
      <c r="F2086" t="s">
        <v>5296</v>
      </c>
      <c r="G2086">
        <v>2</v>
      </c>
      <c r="H2086" t="s">
        <v>4033</v>
      </c>
      <c r="I2086" t="s">
        <v>74</v>
      </c>
      <c r="J2086" t="s">
        <v>4034</v>
      </c>
      <c r="K2086" t="s">
        <v>20</v>
      </c>
      <c r="L2086" t="s">
        <v>5297</v>
      </c>
      <c r="M2086" s="3" t="str">
        <f>HYPERLINK("..\..\Imagery\ScannedPhotos\1999\CG99-184.1.jpg")</f>
        <v>..\..\Imagery\ScannedPhotos\1999\CG99-184.1.jpg</v>
      </c>
    </row>
    <row r="2087" spans="1:13" x14ac:dyDescent="0.25">
      <c r="A2087" t="s">
        <v>5298</v>
      </c>
      <c r="B2087">
        <v>395670</v>
      </c>
      <c r="C2087">
        <v>5769284</v>
      </c>
      <c r="D2087">
        <v>21</v>
      </c>
      <c r="E2087" t="s">
        <v>15</v>
      </c>
      <c r="F2087" t="s">
        <v>5299</v>
      </c>
      <c r="G2087">
        <v>1</v>
      </c>
      <c r="H2087" t="s">
        <v>4033</v>
      </c>
      <c r="I2087" t="s">
        <v>85</v>
      </c>
      <c r="J2087" t="s">
        <v>4034</v>
      </c>
      <c r="K2087" t="s">
        <v>56</v>
      </c>
      <c r="L2087" t="s">
        <v>5300</v>
      </c>
      <c r="M2087" s="3" t="str">
        <f>HYPERLINK("..\..\Imagery\ScannedPhotos\1999\CG99-186.jpg")</f>
        <v>..\..\Imagery\ScannedPhotos\1999\CG99-186.jpg</v>
      </c>
    </row>
    <row r="2088" spans="1:13" x14ac:dyDescent="0.25">
      <c r="A2088" t="s">
        <v>5301</v>
      </c>
      <c r="B2088">
        <v>386298</v>
      </c>
      <c r="C2088">
        <v>5765740</v>
      </c>
      <c r="D2088">
        <v>21</v>
      </c>
      <c r="E2088" t="s">
        <v>15</v>
      </c>
      <c r="F2088" t="s">
        <v>5302</v>
      </c>
      <c r="G2088">
        <v>1</v>
      </c>
      <c r="H2088" t="s">
        <v>4033</v>
      </c>
      <c r="I2088" t="s">
        <v>94</v>
      </c>
      <c r="J2088" t="s">
        <v>4034</v>
      </c>
      <c r="K2088" t="s">
        <v>56</v>
      </c>
      <c r="L2088" t="s">
        <v>5303</v>
      </c>
      <c r="M2088" s="3" t="str">
        <f>HYPERLINK("..\..\Imagery\ScannedPhotos\1999\CG99-191.jpg")</f>
        <v>..\..\Imagery\ScannedPhotos\1999\CG99-191.jpg</v>
      </c>
    </row>
    <row r="2089" spans="1:13" x14ac:dyDescent="0.25">
      <c r="A2089" t="s">
        <v>5304</v>
      </c>
      <c r="B2089">
        <v>377348</v>
      </c>
      <c r="C2089">
        <v>5762342</v>
      </c>
      <c r="D2089">
        <v>21</v>
      </c>
      <c r="E2089" t="s">
        <v>15</v>
      </c>
      <c r="F2089" t="s">
        <v>5305</v>
      </c>
      <c r="G2089">
        <v>8</v>
      </c>
      <c r="H2089" t="s">
        <v>766</v>
      </c>
      <c r="I2089" t="s">
        <v>217</v>
      </c>
      <c r="J2089" t="s">
        <v>767</v>
      </c>
      <c r="K2089" t="s">
        <v>20</v>
      </c>
      <c r="L2089" t="s">
        <v>5306</v>
      </c>
      <c r="M2089" s="3" t="str">
        <f>HYPERLINK("..\..\Imagery\ScannedPhotos\1999\CG99-195.1.jpg")</f>
        <v>..\..\Imagery\ScannedPhotos\1999\CG99-195.1.jpg</v>
      </c>
    </row>
    <row r="2090" spans="1:13" x14ac:dyDescent="0.25">
      <c r="A2090" t="s">
        <v>5304</v>
      </c>
      <c r="B2090">
        <v>377348</v>
      </c>
      <c r="C2090">
        <v>5762342</v>
      </c>
      <c r="D2090">
        <v>21</v>
      </c>
      <c r="E2090" t="s">
        <v>15</v>
      </c>
      <c r="F2090" t="s">
        <v>5307</v>
      </c>
      <c r="G2090">
        <v>8</v>
      </c>
      <c r="H2090" t="s">
        <v>766</v>
      </c>
      <c r="I2090" t="s">
        <v>418</v>
      </c>
      <c r="J2090" t="s">
        <v>767</v>
      </c>
      <c r="K2090" t="s">
        <v>20</v>
      </c>
      <c r="L2090" t="s">
        <v>772</v>
      </c>
      <c r="M2090" s="3" t="str">
        <f>HYPERLINK("..\..\Imagery\ScannedPhotos\1999\CG99-195.4.jpg")</f>
        <v>..\..\Imagery\ScannedPhotos\1999\CG99-195.4.jpg</v>
      </c>
    </row>
    <row r="2091" spans="1:13" x14ac:dyDescent="0.25">
      <c r="A2091" t="s">
        <v>5308</v>
      </c>
      <c r="B2091">
        <v>484461</v>
      </c>
      <c r="C2091">
        <v>6033363</v>
      </c>
      <c r="D2091">
        <v>21</v>
      </c>
      <c r="E2091" t="s">
        <v>15</v>
      </c>
      <c r="F2091" t="s">
        <v>5309</v>
      </c>
      <c r="G2091">
        <v>7</v>
      </c>
      <c r="H2091" t="s">
        <v>2439</v>
      </c>
      <c r="I2091" t="s">
        <v>281</v>
      </c>
      <c r="J2091" t="s">
        <v>2440</v>
      </c>
      <c r="K2091" t="s">
        <v>20</v>
      </c>
      <c r="L2091" t="s">
        <v>5310</v>
      </c>
      <c r="M2091" s="3" t="str">
        <f>HYPERLINK("..\..\Imagery\ScannedPhotos\1992\CG92-065.2.jpg")</f>
        <v>..\..\Imagery\ScannedPhotos\1992\CG92-065.2.jpg</v>
      </c>
    </row>
    <row r="2092" spans="1:13" x14ac:dyDescent="0.25">
      <c r="A2092" t="s">
        <v>5308</v>
      </c>
      <c r="B2092">
        <v>484461</v>
      </c>
      <c r="C2092">
        <v>6033363</v>
      </c>
      <c r="D2092">
        <v>21</v>
      </c>
      <c r="E2092" t="s">
        <v>15</v>
      </c>
      <c r="F2092" t="s">
        <v>5311</v>
      </c>
      <c r="G2092">
        <v>7</v>
      </c>
      <c r="H2092" t="s">
        <v>2439</v>
      </c>
      <c r="I2092" t="s">
        <v>69</v>
      </c>
      <c r="J2092" t="s">
        <v>2440</v>
      </c>
      <c r="K2092" t="s">
        <v>20</v>
      </c>
      <c r="L2092" t="s">
        <v>5312</v>
      </c>
      <c r="M2092" s="3" t="str">
        <f>HYPERLINK("..\..\Imagery\ScannedPhotos\1992\CG92-065.6.jpg")</f>
        <v>..\..\Imagery\ScannedPhotos\1992\CG92-065.6.jpg</v>
      </c>
    </row>
    <row r="2093" spans="1:13" x14ac:dyDescent="0.25">
      <c r="A2093" t="s">
        <v>5308</v>
      </c>
      <c r="B2093">
        <v>484461</v>
      </c>
      <c r="C2093">
        <v>6033363</v>
      </c>
      <c r="D2093">
        <v>21</v>
      </c>
      <c r="E2093" t="s">
        <v>15</v>
      </c>
      <c r="F2093" t="s">
        <v>5313</v>
      </c>
      <c r="G2093">
        <v>7</v>
      </c>
      <c r="H2093" t="s">
        <v>2439</v>
      </c>
      <c r="I2093" t="s">
        <v>137</v>
      </c>
      <c r="J2093" t="s">
        <v>2440</v>
      </c>
      <c r="K2093" t="s">
        <v>20</v>
      </c>
      <c r="L2093" t="s">
        <v>5314</v>
      </c>
      <c r="M2093" s="3" t="str">
        <f>HYPERLINK("..\..\Imagery\ScannedPhotos\1992\CG92-065.3.jpg")</f>
        <v>..\..\Imagery\ScannedPhotos\1992\CG92-065.3.jpg</v>
      </c>
    </row>
    <row r="2094" spans="1:13" x14ac:dyDescent="0.25">
      <c r="A2094" t="s">
        <v>5308</v>
      </c>
      <c r="B2094">
        <v>484461</v>
      </c>
      <c r="C2094">
        <v>6033363</v>
      </c>
      <c r="D2094">
        <v>21</v>
      </c>
      <c r="E2094" t="s">
        <v>15</v>
      </c>
      <c r="F2094" t="s">
        <v>5315</v>
      </c>
      <c r="G2094">
        <v>7</v>
      </c>
      <c r="H2094" t="s">
        <v>2439</v>
      </c>
      <c r="I2094" t="s">
        <v>18</v>
      </c>
      <c r="J2094" t="s">
        <v>2440</v>
      </c>
      <c r="K2094" t="s">
        <v>20</v>
      </c>
      <c r="L2094" t="s">
        <v>5316</v>
      </c>
      <c r="M2094" s="3" t="str">
        <f>HYPERLINK("..\..\Imagery\ScannedPhotos\1992\CG92-065.4.jpg")</f>
        <v>..\..\Imagery\ScannedPhotos\1992\CG92-065.4.jpg</v>
      </c>
    </row>
    <row r="2095" spans="1:13" x14ac:dyDescent="0.25">
      <c r="A2095" t="s">
        <v>5308</v>
      </c>
      <c r="B2095">
        <v>484461</v>
      </c>
      <c r="C2095">
        <v>6033363</v>
      </c>
      <c r="D2095">
        <v>21</v>
      </c>
      <c r="E2095" t="s">
        <v>15</v>
      </c>
      <c r="F2095" t="s">
        <v>5317</v>
      </c>
      <c r="G2095">
        <v>7</v>
      </c>
      <c r="H2095" t="s">
        <v>2439</v>
      </c>
      <c r="I2095" t="s">
        <v>35</v>
      </c>
      <c r="J2095" t="s">
        <v>2440</v>
      </c>
      <c r="K2095" t="s">
        <v>20</v>
      </c>
      <c r="L2095" t="s">
        <v>5318</v>
      </c>
      <c r="M2095" s="3" t="str">
        <f>HYPERLINK("..\..\Imagery\ScannedPhotos\1992\CG92-065.5.jpg")</f>
        <v>..\..\Imagery\ScannedPhotos\1992\CG92-065.5.jpg</v>
      </c>
    </row>
    <row r="2096" spans="1:13" x14ac:dyDescent="0.25">
      <c r="A2096" t="s">
        <v>5308</v>
      </c>
      <c r="B2096">
        <v>484461</v>
      </c>
      <c r="C2096">
        <v>6033363</v>
      </c>
      <c r="D2096">
        <v>21</v>
      </c>
      <c r="E2096" t="s">
        <v>15</v>
      </c>
      <c r="F2096" t="s">
        <v>5319</v>
      </c>
      <c r="G2096">
        <v>7</v>
      </c>
      <c r="H2096" t="s">
        <v>2439</v>
      </c>
      <c r="I2096" t="s">
        <v>74</v>
      </c>
      <c r="J2096" t="s">
        <v>2440</v>
      </c>
      <c r="K2096" t="s">
        <v>20</v>
      </c>
      <c r="L2096" t="s">
        <v>5320</v>
      </c>
      <c r="M2096" s="3" t="str">
        <f>HYPERLINK("..\..\Imagery\ScannedPhotos\1992\CG92-065.7.jpg")</f>
        <v>..\..\Imagery\ScannedPhotos\1992\CG92-065.7.jpg</v>
      </c>
    </row>
    <row r="2097" spans="1:13" x14ac:dyDescent="0.25">
      <c r="A2097" t="s">
        <v>2437</v>
      </c>
      <c r="B2097">
        <v>490968</v>
      </c>
      <c r="C2097">
        <v>6039407</v>
      </c>
      <c r="D2097">
        <v>21</v>
      </c>
      <c r="E2097" t="s">
        <v>15</v>
      </c>
      <c r="F2097" t="s">
        <v>5321</v>
      </c>
      <c r="G2097">
        <v>6</v>
      </c>
      <c r="H2097" t="s">
        <v>2439</v>
      </c>
      <c r="I2097" t="s">
        <v>375</v>
      </c>
      <c r="J2097" t="s">
        <v>2440</v>
      </c>
      <c r="K2097" t="s">
        <v>20</v>
      </c>
      <c r="L2097" t="s">
        <v>2441</v>
      </c>
      <c r="M2097" s="3" t="str">
        <f>HYPERLINK("..\..\Imagery\ScannedPhotos\1992\CG92-066.2.jpg")</f>
        <v>..\..\Imagery\ScannedPhotos\1992\CG92-066.2.jpg</v>
      </c>
    </row>
    <row r="2098" spans="1:13" x14ac:dyDescent="0.25">
      <c r="A2098" t="s">
        <v>2437</v>
      </c>
      <c r="B2098">
        <v>490968</v>
      </c>
      <c r="C2098">
        <v>6039407</v>
      </c>
      <c r="D2098">
        <v>21</v>
      </c>
      <c r="E2098" t="s">
        <v>15</v>
      </c>
      <c r="F2098" t="s">
        <v>5322</v>
      </c>
      <c r="G2098">
        <v>6</v>
      </c>
      <c r="H2098" t="s">
        <v>2439</v>
      </c>
      <c r="I2098" t="s">
        <v>217</v>
      </c>
      <c r="J2098" t="s">
        <v>2440</v>
      </c>
      <c r="K2098" t="s">
        <v>20</v>
      </c>
      <c r="L2098" t="s">
        <v>5323</v>
      </c>
      <c r="M2098" s="3" t="str">
        <f>HYPERLINK("..\..\Imagery\ScannedPhotos\1992\CG92-066.6.jpg")</f>
        <v>..\..\Imagery\ScannedPhotos\1992\CG92-066.6.jpg</v>
      </c>
    </row>
    <row r="2099" spans="1:13" x14ac:dyDescent="0.25">
      <c r="A2099" t="s">
        <v>3451</v>
      </c>
      <c r="B2099">
        <v>375521</v>
      </c>
      <c r="C2099">
        <v>6116185</v>
      </c>
      <c r="D2099">
        <v>21</v>
      </c>
      <c r="E2099" t="s">
        <v>15</v>
      </c>
      <c r="F2099" t="s">
        <v>5324</v>
      </c>
      <c r="G2099">
        <v>4</v>
      </c>
      <c r="H2099" t="s">
        <v>609</v>
      </c>
      <c r="I2099" t="s">
        <v>294</v>
      </c>
      <c r="J2099" t="s">
        <v>610</v>
      </c>
      <c r="K2099" t="s">
        <v>20</v>
      </c>
      <c r="L2099" t="s">
        <v>5325</v>
      </c>
      <c r="M2099" s="3" t="str">
        <f>HYPERLINK("..\..\Imagery\ScannedPhotos\1979\AD79-003.1.jpg")</f>
        <v>..\..\Imagery\ScannedPhotos\1979\AD79-003.1.jpg</v>
      </c>
    </row>
    <row r="2100" spans="1:13" x14ac:dyDescent="0.25">
      <c r="A2100" t="s">
        <v>5326</v>
      </c>
      <c r="B2100">
        <v>375902</v>
      </c>
      <c r="C2100">
        <v>6121146</v>
      </c>
      <c r="D2100">
        <v>21</v>
      </c>
      <c r="E2100" t="s">
        <v>15</v>
      </c>
      <c r="F2100" t="s">
        <v>5327</v>
      </c>
      <c r="G2100">
        <v>2</v>
      </c>
      <c r="H2100" t="s">
        <v>609</v>
      </c>
      <c r="I2100" t="s">
        <v>69</v>
      </c>
      <c r="J2100" t="s">
        <v>610</v>
      </c>
      <c r="K2100" t="s">
        <v>20</v>
      </c>
      <c r="L2100" t="s">
        <v>5328</v>
      </c>
      <c r="M2100" s="3" t="str">
        <f>HYPERLINK("..\..\Imagery\ScannedPhotos\1979\AD79-008.1.jpg")</f>
        <v>..\..\Imagery\ScannedPhotos\1979\AD79-008.1.jpg</v>
      </c>
    </row>
    <row r="2101" spans="1:13" x14ac:dyDescent="0.25">
      <c r="A2101" t="s">
        <v>5326</v>
      </c>
      <c r="B2101">
        <v>375902</v>
      </c>
      <c r="C2101">
        <v>6121146</v>
      </c>
      <c r="D2101">
        <v>21</v>
      </c>
      <c r="E2101" t="s">
        <v>15</v>
      </c>
      <c r="F2101" t="s">
        <v>5329</v>
      </c>
      <c r="G2101">
        <v>2</v>
      </c>
      <c r="H2101" t="s">
        <v>609</v>
      </c>
      <c r="I2101" t="s">
        <v>74</v>
      </c>
      <c r="J2101" t="s">
        <v>610</v>
      </c>
      <c r="K2101" t="s">
        <v>20</v>
      </c>
      <c r="L2101" t="s">
        <v>5328</v>
      </c>
      <c r="M2101" s="3" t="str">
        <f>HYPERLINK("..\..\Imagery\ScannedPhotos\1979\AD79-008.2.jpg")</f>
        <v>..\..\Imagery\ScannedPhotos\1979\AD79-008.2.jpg</v>
      </c>
    </row>
    <row r="2102" spans="1:13" x14ac:dyDescent="0.25">
      <c r="A2102" t="s">
        <v>607</v>
      </c>
      <c r="B2102">
        <v>375596</v>
      </c>
      <c r="C2102">
        <v>6121347</v>
      </c>
      <c r="D2102">
        <v>21</v>
      </c>
      <c r="E2102" t="s">
        <v>15</v>
      </c>
      <c r="F2102" t="s">
        <v>5330</v>
      </c>
      <c r="G2102">
        <v>5</v>
      </c>
      <c r="H2102" t="s">
        <v>609</v>
      </c>
      <c r="I2102" t="s">
        <v>209</v>
      </c>
      <c r="J2102" t="s">
        <v>610</v>
      </c>
      <c r="K2102" t="s">
        <v>20</v>
      </c>
      <c r="L2102" t="s">
        <v>5331</v>
      </c>
      <c r="M2102" s="3" t="str">
        <f>HYPERLINK("..\..\Imagery\ScannedPhotos\1979\AD79-009.5.jpg")</f>
        <v>..\..\Imagery\ScannedPhotos\1979\AD79-009.5.jpg</v>
      </c>
    </row>
    <row r="2103" spans="1:13" x14ac:dyDescent="0.25">
      <c r="A2103" t="s">
        <v>5049</v>
      </c>
      <c r="B2103">
        <v>441649</v>
      </c>
      <c r="C2103">
        <v>6007403</v>
      </c>
      <c r="D2103">
        <v>21</v>
      </c>
      <c r="E2103" t="s">
        <v>15</v>
      </c>
      <c r="F2103" t="s">
        <v>5332</v>
      </c>
      <c r="G2103">
        <v>3</v>
      </c>
      <c r="H2103" t="s">
        <v>93</v>
      </c>
      <c r="I2103" t="s">
        <v>304</v>
      </c>
      <c r="J2103" t="s">
        <v>95</v>
      </c>
      <c r="K2103" t="s">
        <v>20</v>
      </c>
      <c r="L2103" t="s">
        <v>5051</v>
      </c>
      <c r="M2103" s="3" t="str">
        <f>HYPERLINK("..\..\Imagery\ScannedPhotos\1980\CG80-243.2.jpg")</f>
        <v>..\..\Imagery\ScannedPhotos\1980\CG80-243.2.jpg</v>
      </c>
    </row>
    <row r="2104" spans="1:13" x14ac:dyDescent="0.25">
      <c r="A2104" t="s">
        <v>5333</v>
      </c>
      <c r="B2104">
        <v>443529</v>
      </c>
      <c r="C2104">
        <v>6007372</v>
      </c>
      <c r="D2104">
        <v>21</v>
      </c>
      <c r="E2104" t="s">
        <v>15</v>
      </c>
      <c r="F2104" t="s">
        <v>5334</v>
      </c>
      <c r="G2104">
        <v>1</v>
      </c>
      <c r="H2104" t="s">
        <v>93</v>
      </c>
      <c r="I2104" t="s">
        <v>25</v>
      </c>
      <c r="J2104" t="s">
        <v>95</v>
      </c>
      <c r="K2104" t="s">
        <v>20</v>
      </c>
      <c r="L2104" t="s">
        <v>5335</v>
      </c>
      <c r="M2104" s="3" t="str">
        <f>HYPERLINK("..\..\Imagery\ScannedPhotos\1980\CG80-247.jpg")</f>
        <v>..\..\Imagery\ScannedPhotos\1980\CG80-247.jpg</v>
      </c>
    </row>
    <row r="2105" spans="1:13" x14ac:dyDescent="0.25">
      <c r="A2105" t="s">
        <v>5336</v>
      </c>
      <c r="B2105">
        <v>591836</v>
      </c>
      <c r="C2105">
        <v>5811032</v>
      </c>
      <c r="D2105">
        <v>21</v>
      </c>
      <c r="E2105" t="s">
        <v>15</v>
      </c>
      <c r="F2105" t="s">
        <v>5337</v>
      </c>
      <c r="G2105">
        <v>2</v>
      </c>
      <c r="H2105" t="s">
        <v>2916</v>
      </c>
      <c r="I2105" t="s">
        <v>195</v>
      </c>
      <c r="J2105" t="s">
        <v>797</v>
      </c>
      <c r="K2105" t="s">
        <v>20</v>
      </c>
      <c r="L2105" t="s">
        <v>5338</v>
      </c>
      <c r="M2105" s="3" t="str">
        <f>HYPERLINK("..\..\Imagery\ScannedPhotos\1987\VN87-289.2.jpg")</f>
        <v>..\..\Imagery\ScannedPhotos\1987\VN87-289.2.jpg</v>
      </c>
    </row>
    <row r="2106" spans="1:13" x14ac:dyDescent="0.25">
      <c r="A2106" t="s">
        <v>5339</v>
      </c>
      <c r="B2106">
        <v>583085</v>
      </c>
      <c r="C2106">
        <v>5883634</v>
      </c>
      <c r="D2106">
        <v>21</v>
      </c>
      <c r="E2106" t="s">
        <v>15</v>
      </c>
      <c r="F2106" t="s">
        <v>5340</v>
      </c>
      <c r="G2106">
        <v>1</v>
      </c>
      <c r="H2106" t="s">
        <v>1378</v>
      </c>
      <c r="I2106" t="s">
        <v>195</v>
      </c>
      <c r="J2106" t="s">
        <v>628</v>
      </c>
      <c r="K2106" t="s">
        <v>228</v>
      </c>
      <c r="L2106" t="s">
        <v>5341</v>
      </c>
      <c r="M2106" s="3" t="str">
        <f>HYPERLINK("..\..\Imagery\ScannedPhotos\1985\VN85-551.jpg")</f>
        <v>..\..\Imagery\ScannedPhotos\1985\VN85-551.jpg</v>
      </c>
    </row>
    <row r="2107" spans="1:13" x14ac:dyDescent="0.25">
      <c r="A2107" t="s">
        <v>3292</v>
      </c>
      <c r="B2107">
        <v>571192</v>
      </c>
      <c r="C2107">
        <v>5916812</v>
      </c>
      <c r="D2107">
        <v>21</v>
      </c>
      <c r="E2107" t="s">
        <v>15</v>
      </c>
      <c r="F2107" t="s">
        <v>5342</v>
      </c>
      <c r="G2107">
        <v>2</v>
      </c>
      <c r="H2107" t="s">
        <v>2687</v>
      </c>
      <c r="I2107" t="s">
        <v>74</v>
      </c>
      <c r="J2107" t="s">
        <v>1463</v>
      </c>
      <c r="K2107" t="s">
        <v>20</v>
      </c>
      <c r="L2107" t="s">
        <v>5343</v>
      </c>
      <c r="M2107" s="3" t="str">
        <f>HYPERLINK("..\..\Imagery\ScannedPhotos\1985\VN85-581.2.jpg")</f>
        <v>..\..\Imagery\ScannedPhotos\1985\VN85-581.2.jpg</v>
      </c>
    </row>
    <row r="2108" spans="1:13" x14ac:dyDescent="0.25">
      <c r="A2108" t="s">
        <v>2153</v>
      </c>
      <c r="B2108">
        <v>445567</v>
      </c>
      <c r="C2108">
        <v>5769871</v>
      </c>
      <c r="D2108">
        <v>21</v>
      </c>
      <c r="E2108" t="s">
        <v>15</v>
      </c>
      <c r="F2108" t="s">
        <v>5344</v>
      </c>
      <c r="G2108">
        <v>3</v>
      </c>
      <c r="H2108" t="s">
        <v>1107</v>
      </c>
      <c r="I2108" t="s">
        <v>360</v>
      </c>
      <c r="J2108" t="s">
        <v>747</v>
      </c>
      <c r="K2108" t="s">
        <v>56</v>
      </c>
      <c r="L2108" t="s">
        <v>2155</v>
      </c>
      <c r="M2108" s="3" t="str">
        <f>HYPERLINK("..\..\Imagery\ScannedPhotos\1992\CG92-145.2.jpg")</f>
        <v>..\..\Imagery\ScannedPhotos\1992\CG92-145.2.jpg</v>
      </c>
    </row>
    <row r="2109" spans="1:13" x14ac:dyDescent="0.25">
      <c r="A2109" t="s">
        <v>2153</v>
      </c>
      <c r="B2109">
        <v>445567</v>
      </c>
      <c r="C2109">
        <v>5769871</v>
      </c>
      <c r="D2109">
        <v>21</v>
      </c>
      <c r="E2109" t="s">
        <v>15</v>
      </c>
      <c r="F2109" t="s">
        <v>5345</v>
      </c>
      <c r="G2109">
        <v>3</v>
      </c>
      <c r="H2109" t="s">
        <v>1107</v>
      </c>
      <c r="I2109" t="s">
        <v>25</v>
      </c>
      <c r="J2109" t="s">
        <v>747</v>
      </c>
      <c r="K2109" t="s">
        <v>56</v>
      </c>
      <c r="L2109" t="s">
        <v>2155</v>
      </c>
      <c r="M2109" s="3" t="str">
        <f>HYPERLINK("..\..\Imagery\ScannedPhotos\1992\CG92-145.1.jpg")</f>
        <v>..\..\Imagery\ScannedPhotos\1992\CG92-145.1.jpg</v>
      </c>
    </row>
    <row r="2110" spans="1:13" x14ac:dyDescent="0.25">
      <c r="A2110" t="s">
        <v>5346</v>
      </c>
      <c r="B2110">
        <v>537119</v>
      </c>
      <c r="C2110">
        <v>5804611</v>
      </c>
      <c r="D2110">
        <v>21</v>
      </c>
      <c r="E2110" t="s">
        <v>15</v>
      </c>
      <c r="F2110" t="s">
        <v>5347</v>
      </c>
      <c r="G2110">
        <v>1</v>
      </c>
      <c r="H2110" t="s">
        <v>1688</v>
      </c>
      <c r="I2110" t="s">
        <v>386</v>
      </c>
      <c r="J2110" t="s">
        <v>1052</v>
      </c>
      <c r="K2110" t="s">
        <v>20</v>
      </c>
      <c r="L2110" t="s">
        <v>5348</v>
      </c>
      <c r="M2110" s="3" t="str">
        <f>HYPERLINK("..\..\Imagery\ScannedPhotos\1987\VN87-373.jpg")</f>
        <v>..\..\Imagery\ScannedPhotos\1987\VN87-373.jpg</v>
      </c>
    </row>
    <row r="2111" spans="1:13" x14ac:dyDescent="0.25">
      <c r="A2111" t="s">
        <v>5349</v>
      </c>
      <c r="B2111">
        <v>535720</v>
      </c>
      <c r="C2111">
        <v>5804140</v>
      </c>
      <c r="D2111">
        <v>21</v>
      </c>
      <c r="E2111" t="s">
        <v>15</v>
      </c>
      <c r="F2111" t="s">
        <v>5350</v>
      </c>
      <c r="G2111">
        <v>1</v>
      </c>
      <c r="H2111" t="s">
        <v>1688</v>
      </c>
      <c r="I2111" t="s">
        <v>217</v>
      </c>
      <c r="J2111" t="s">
        <v>1052</v>
      </c>
      <c r="K2111" t="s">
        <v>20</v>
      </c>
      <c r="L2111" t="s">
        <v>5351</v>
      </c>
      <c r="M2111" s="3" t="str">
        <f>HYPERLINK("..\..\Imagery\ScannedPhotos\1987\VN87-376.jpg")</f>
        <v>..\..\Imagery\ScannedPhotos\1987\VN87-376.jpg</v>
      </c>
    </row>
    <row r="2112" spans="1:13" x14ac:dyDescent="0.25">
      <c r="A2112" t="s">
        <v>4415</v>
      </c>
      <c r="B2112">
        <v>567839</v>
      </c>
      <c r="C2112">
        <v>5916629</v>
      </c>
      <c r="D2112">
        <v>21</v>
      </c>
      <c r="E2112" t="s">
        <v>15</v>
      </c>
      <c r="F2112" t="s">
        <v>5352</v>
      </c>
      <c r="G2112">
        <v>4</v>
      </c>
      <c r="H2112" t="s">
        <v>2687</v>
      </c>
      <c r="I2112" t="s">
        <v>386</v>
      </c>
      <c r="J2112" t="s">
        <v>1463</v>
      </c>
      <c r="K2112" t="s">
        <v>56</v>
      </c>
      <c r="L2112" t="s">
        <v>3297</v>
      </c>
      <c r="M2112" s="3" t="str">
        <f>HYPERLINK("..\..\Imagery\ScannedPhotos\1985\VN85-605.4.jpg")</f>
        <v>..\..\Imagery\ScannedPhotos\1985\VN85-605.4.jpg</v>
      </c>
    </row>
    <row r="2113" spans="1:13" x14ac:dyDescent="0.25">
      <c r="A2113" t="s">
        <v>4415</v>
      </c>
      <c r="B2113">
        <v>567839</v>
      </c>
      <c r="C2113">
        <v>5916629</v>
      </c>
      <c r="D2113">
        <v>21</v>
      </c>
      <c r="E2113" t="s">
        <v>15</v>
      </c>
      <c r="F2113" t="s">
        <v>5353</v>
      </c>
      <c r="G2113">
        <v>4</v>
      </c>
      <c r="H2113" t="s">
        <v>2687</v>
      </c>
      <c r="I2113" t="s">
        <v>69</v>
      </c>
      <c r="J2113" t="s">
        <v>1463</v>
      </c>
      <c r="K2113" t="s">
        <v>56</v>
      </c>
      <c r="L2113" t="s">
        <v>5354</v>
      </c>
      <c r="M2113" s="3" t="str">
        <f>HYPERLINK("..\..\Imagery\ScannedPhotos\1985\VN85-605.1.jpg")</f>
        <v>..\..\Imagery\ScannedPhotos\1985\VN85-605.1.jpg</v>
      </c>
    </row>
    <row r="2114" spans="1:13" x14ac:dyDescent="0.25">
      <c r="A2114" t="s">
        <v>5355</v>
      </c>
      <c r="B2114">
        <v>570765</v>
      </c>
      <c r="C2114">
        <v>5919878</v>
      </c>
      <c r="D2114">
        <v>21</v>
      </c>
      <c r="E2114" t="s">
        <v>15</v>
      </c>
      <c r="F2114" t="s">
        <v>5356</v>
      </c>
      <c r="G2114">
        <v>2</v>
      </c>
      <c r="H2114" t="s">
        <v>2687</v>
      </c>
      <c r="I2114" t="s">
        <v>217</v>
      </c>
      <c r="J2114" t="s">
        <v>1463</v>
      </c>
      <c r="K2114" t="s">
        <v>56</v>
      </c>
      <c r="L2114" t="s">
        <v>838</v>
      </c>
      <c r="M2114" s="3" t="str">
        <f>HYPERLINK("..\..\Imagery\ScannedPhotos\1985\VN85-611.1.jpg")</f>
        <v>..\..\Imagery\ScannedPhotos\1985\VN85-611.1.jpg</v>
      </c>
    </row>
    <row r="2115" spans="1:13" x14ac:dyDescent="0.25">
      <c r="A2115" t="s">
        <v>5355</v>
      </c>
      <c r="B2115">
        <v>570765</v>
      </c>
      <c r="C2115">
        <v>5919878</v>
      </c>
      <c r="D2115">
        <v>21</v>
      </c>
      <c r="E2115" t="s">
        <v>15</v>
      </c>
      <c r="F2115" t="s">
        <v>5357</v>
      </c>
      <c r="G2115">
        <v>2</v>
      </c>
      <c r="H2115" t="s">
        <v>2687</v>
      </c>
      <c r="I2115" t="s">
        <v>214</v>
      </c>
      <c r="J2115" t="s">
        <v>1463</v>
      </c>
      <c r="K2115" t="s">
        <v>56</v>
      </c>
      <c r="L2115" t="s">
        <v>838</v>
      </c>
      <c r="M2115" s="3" t="str">
        <f>HYPERLINK("..\..\Imagery\ScannedPhotos\1985\VN85-611.2.jpg")</f>
        <v>..\..\Imagery\ScannedPhotos\1985\VN85-611.2.jpg</v>
      </c>
    </row>
    <row r="2116" spans="1:13" x14ac:dyDescent="0.25">
      <c r="A2116" t="s">
        <v>5358</v>
      </c>
      <c r="B2116">
        <v>578634</v>
      </c>
      <c r="C2116">
        <v>5920832</v>
      </c>
      <c r="D2116">
        <v>21</v>
      </c>
      <c r="E2116" t="s">
        <v>15</v>
      </c>
      <c r="F2116" t="s">
        <v>5359</v>
      </c>
      <c r="G2116">
        <v>7</v>
      </c>
      <c r="H2116" t="s">
        <v>1994</v>
      </c>
      <c r="I2116" t="s">
        <v>25</v>
      </c>
      <c r="J2116" t="s">
        <v>138</v>
      </c>
      <c r="K2116" t="s">
        <v>20</v>
      </c>
      <c r="L2116" t="s">
        <v>5360</v>
      </c>
      <c r="M2116" s="3" t="str">
        <f>HYPERLINK("..\..\Imagery\ScannedPhotos\1985\GM85-592.2.jpg")</f>
        <v>..\..\Imagery\ScannedPhotos\1985\GM85-592.2.jpg</v>
      </c>
    </row>
    <row r="2117" spans="1:13" x14ac:dyDescent="0.25">
      <c r="A2117" t="s">
        <v>5358</v>
      </c>
      <c r="B2117">
        <v>578634</v>
      </c>
      <c r="C2117">
        <v>5920832</v>
      </c>
      <c r="D2117">
        <v>21</v>
      </c>
      <c r="E2117" t="s">
        <v>15</v>
      </c>
      <c r="F2117" t="s">
        <v>5361</v>
      </c>
      <c r="G2117">
        <v>7</v>
      </c>
      <c r="H2117" t="s">
        <v>1994</v>
      </c>
      <c r="I2117" t="s">
        <v>195</v>
      </c>
      <c r="J2117" t="s">
        <v>138</v>
      </c>
      <c r="K2117" t="s">
        <v>20</v>
      </c>
      <c r="L2117" t="s">
        <v>5360</v>
      </c>
      <c r="M2117" s="3" t="str">
        <f>HYPERLINK("..\..\Imagery\ScannedPhotos\1985\GM85-592.1.jpg")</f>
        <v>..\..\Imagery\ScannedPhotos\1985\GM85-592.1.jpg</v>
      </c>
    </row>
    <row r="2118" spans="1:13" x14ac:dyDescent="0.25">
      <c r="A2118" t="s">
        <v>3722</v>
      </c>
      <c r="B2118">
        <v>495907</v>
      </c>
      <c r="C2118">
        <v>5786806</v>
      </c>
      <c r="D2118">
        <v>21</v>
      </c>
      <c r="E2118" t="s">
        <v>15</v>
      </c>
      <c r="F2118" t="s">
        <v>5362</v>
      </c>
      <c r="G2118">
        <v>4</v>
      </c>
      <c r="H2118" t="s">
        <v>746</v>
      </c>
      <c r="I2118" t="s">
        <v>52</v>
      </c>
      <c r="J2118" t="s">
        <v>747</v>
      </c>
      <c r="K2118" t="s">
        <v>20</v>
      </c>
      <c r="L2118" t="s">
        <v>3724</v>
      </c>
      <c r="M2118" s="3" t="str">
        <f>HYPERLINK("..\..\Imagery\ScannedPhotos\1992\CG92-281.4.jpg")</f>
        <v>..\..\Imagery\ScannedPhotos\1992\CG92-281.4.jpg</v>
      </c>
    </row>
    <row r="2119" spans="1:13" x14ac:dyDescent="0.25">
      <c r="A2119" t="s">
        <v>5363</v>
      </c>
      <c r="B2119">
        <v>588840</v>
      </c>
      <c r="C2119">
        <v>5918910</v>
      </c>
      <c r="D2119">
        <v>21</v>
      </c>
      <c r="E2119" t="s">
        <v>15</v>
      </c>
      <c r="F2119" t="s">
        <v>5364</v>
      </c>
      <c r="G2119">
        <v>1</v>
      </c>
      <c r="H2119" t="s">
        <v>627</v>
      </c>
      <c r="I2119" t="s">
        <v>41</v>
      </c>
      <c r="J2119" t="s">
        <v>628</v>
      </c>
      <c r="K2119" t="s">
        <v>20</v>
      </c>
      <c r="L2119" t="s">
        <v>5365</v>
      </c>
      <c r="M2119" s="3" t="str">
        <f>HYPERLINK("..\..\Imagery\ScannedPhotos\1985\CG85-550.jpg")</f>
        <v>..\..\Imagery\ScannedPhotos\1985\CG85-550.jpg</v>
      </c>
    </row>
    <row r="2120" spans="1:13" x14ac:dyDescent="0.25">
      <c r="A2120" t="s">
        <v>5366</v>
      </c>
      <c r="B2120">
        <v>572892</v>
      </c>
      <c r="C2120">
        <v>5876383</v>
      </c>
      <c r="D2120">
        <v>21</v>
      </c>
      <c r="E2120" t="s">
        <v>15</v>
      </c>
      <c r="F2120" t="s">
        <v>5367</v>
      </c>
      <c r="G2120">
        <v>2</v>
      </c>
      <c r="H2120" t="s">
        <v>627</v>
      </c>
      <c r="I2120" t="s">
        <v>375</v>
      </c>
      <c r="J2120" t="s">
        <v>628</v>
      </c>
      <c r="K2120" t="s">
        <v>20</v>
      </c>
      <c r="L2120" t="s">
        <v>451</v>
      </c>
      <c r="M2120" s="3" t="str">
        <f>HYPERLINK("..\..\Imagery\ScannedPhotos\1985\CG85-558.2.jpg")</f>
        <v>..\..\Imagery\ScannedPhotos\1985\CG85-558.2.jpg</v>
      </c>
    </row>
    <row r="2121" spans="1:13" x14ac:dyDescent="0.25">
      <c r="A2121" t="s">
        <v>5368</v>
      </c>
      <c r="B2121">
        <v>562780</v>
      </c>
      <c r="C2121">
        <v>5876570</v>
      </c>
      <c r="D2121">
        <v>21</v>
      </c>
      <c r="E2121" t="s">
        <v>15</v>
      </c>
      <c r="F2121" t="s">
        <v>5369</v>
      </c>
      <c r="G2121">
        <v>1</v>
      </c>
      <c r="H2121" t="s">
        <v>627</v>
      </c>
      <c r="I2121" t="s">
        <v>94</v>
      </c>
      <c r="J2121" t="s">
        <v>628</v>
      </c>
      <c r="K2121" t="s">
        <v>20</v>
      </c>
      <c r="L2121" t="s">
        <v>451</v>
      </c>
      <c r="M2121" s="3" t="str">
        <f>HYPERLINK("..\..\Imagery\ScannedPhotos\1985\CG85-559.jpg")</f>
        <v>..\..\Imagery\ScannedPhotos\1985\CG85-559.jpg</v>
      </c>
    </row>
    <row r="2122" spans="1:13" x14ac:dyDescent="0.25">
      <c r="A2122" t="s">
        <v>5370</v>
      </c>
      <c r="B2122">
        <v>574011</v>
      </c>
      <c r="C2122">
        <v>5911394</v>
      </c>
      <c r="D2122">
        <v>21</v>
      </c>
      <c r="E2122" t="s">
        <v>15</v>
      </c>
      <c r="F2122" t="s">
        <v>5371</v>
      </c>
      <c r="G2122">
        <v>3</v>
      </c>
      <c r="H2122" t="s">
        <v>1232</v>
      </c>
      <c r="I2122" t="s">
        <v>74</v>
      </c>
      <c r="J2122" t="s">
        <v>1233</v>
      </c>
      <c r="K2122" t="s">
        <v>228</v>
      </c>
      <c r="L2122" t="s">
        <v>5372</v>
      </c>
      <c r="M2122" s="3" t="str">
        <f>HYPERLINK("..\..\Imagery\ScannedPhotos\1985\CG85-576.1.jpg")</f>
        <v>..\..\Imagery\ScannedPhotos\1985\CG85-576.1.jpg</v>
      </c>
    </row>
    <row r="2123" spans="1:13" x14ac:dyDescent="0.25">
      <c r="A2123" t="s">
        <v>5370</v>
      </c>
      <c r="B2123">
        <v>574011</v>
      </c>
      <c r="C2123">
        <v>5911394</v>
      </c>
      <c r="D2123">
        <v>21</v>
      </c>
      <c r="E2123" t="s">
        <v>15</v>
      </c>
      <c r="F2123" t="s">
        <v>5373</v>
      </c>
      <c r="G2123">
        <v>3</v>
      </c>
      <c r="H2123" t="s">
        <v>1232</v>
      </c>
      <c r="I2123" t="s">
        <v>41</v>
      </c>
      <c r="J2123" t="s">
        <v>1233</v>
      </c>
      <c r="K2123" t="s">
        <v>935</v>
      </c>
      <c r="L2123" t="s">
        <v>5374</v>
      </c>
      <c r="M2123" s="3" t="str">
        <f>HYPERLINK("..\..\Imagery\ScannedPhotos\1985\CG85-576.2.jpg")</f>
        <v>..\..\Imagery\ScannedPhotos\1985\CG85-576.2.jpg</v>
      </c>
    </row>
    <row r="2124" spans="1:13" x14ac:dyDescent="0.25">
      <c r="A2124" t="s">
        <v>5370</v>
      </c>
      <c r="B2124">
        <v>574011</v>
      </c>
      <c r="C2124">
        <v>5911394</v>
      </c>
      <c r="D2124">
        <v>21</v>
      </c>
      <c r="E2124" t="s">
        <v>15</v>
      </c>
      <c r="F2124" t="s">
        <v>5375</v>
      </c>
      <c r="G2124">
        <v>3</v>
      </c>
      <c r="H2124" t="s">
        <v>1232</v>
      </c>
      <c r="I2124" t="s">
        <v>85</v>
      </c>
      <c r="J2124" t="s">
        <v>1233</v>
      </c>
      <c r="K2124" t="s">
        <v>228</v>
      </c>
      <c r="L2124" t="s">
        <v>5376</v>
      </c>
      <c r="M2124" s="3" t="str">
        <f>HYPERLINK("..\..\Imagery\ScannedPhotos\1985\CG85-576.3.jpg")</f>
        <v>..\..\Imagery\ScannedPhotos\1985\CG85-576.3.jpg</v>
      </c>
    </row>
    <row r="2125" spans="1:13" x14ac:dyDescent="0.25">
      <c r="A2125" t="s">
        <v>4516</v>
      </c>
      <c r="B2125">
        <v>581329</v>
      </c>
      <c r="C2125">
        <v>5917569</v>
      </c>
      <c r="D2125">
        <v>21</v>
      </c>
      <c r="E2125" t="s">
        <v>15</v>
      </c>
      <c r="F2125" t="s">
        <v>5377</v>
      </c>
      <c r="G2125">
        <v>2</v>
      </c>
      <c r="H2125" t="s">
        <v>627</v>
      </c>
      <c r="I2125" t="s">
        <v>217</v>
      </c>
      <c r="J2125" t="s">
        <v>628</v>
      </c>
      <c r="K2125" t="s">
        <v>20</v>
      </c>
      <c r="L2125" t="s">
        <v>5378</v>
      </c>
      <c r="M2125" s="3" t="str">
        <f>HYPERLINK("..\..\Imagery\ScannedPhotos\1985\CG85-590.1.jpg")</f>
        <v>..\..\Imagery\ScannedPhotos\1985\CG85-590.1.jpg</v>
      </c>
    </row>
    <row r="2126" spans="1:13" x14ac:dyDescent="0.25">
      <c r="A2126" t="s">
        <v>5379</v>
      </c>
      <c r="B2126">
        <v>464655</v>
      </c>
      <c r="C2126">
        <v>5927343</v>
      </c>
      <c r="D2126">
        <v>21</v>
      </c>
      <c r="E2126" t="s">
        <v>15</v>
      </c>
      <c r="F2126" t="s">
        <v>5380</v>
      </c>
      <c r="G2126">
        <v>1</v>
      </c>
      <c r="H2126" t="s">
        <v>3982</v>
      </c>
      <c r="I2126" t="s">
        <v>114</v>
      </c>
      <c r="J2126" t="s">
        <v>2247</v>
      </c>
      <c r="K2126" t="s">
        <v>20</v>
      </c>
      <c r="L2126" t="s">
        <v>5381</v>
      </c>
      <c r="M2126" s="3" t="str">
        <f>HYPERLINK("..\..\Imagery\ScannedPhotos\1984\CG84-443.jpg")</f>
        <v>..\..\Imagery\ScannedPhotos\1984\CG84-443.jpg</v>
      </c>
    </row>
    <row r="2127" spans="1:13" x14ac:dyDescent="0.25">
      <c r="A2127" t="s">
        <v>5382</v>
      </c>
      <c r="B2127">
        <v>434813</v>
      </c>
      <c r="C2127">
        <v>5927575</v>
      </c>
      <c r="D2127">
        <v>21</v>
      </c>
      <c r="E2127" t="s">
        <v>15</v>
      </c>
      <c r="F2127" t="s">
        <v>5383</v>
      </c>
      <c r="G2127">
        <v>3</v>
      </c>
      <c r="H2127" t="s">
        <v>3982</v>
      </c>
      <c r="I2127" t="s">
        <v>126</v>
      </c>
      <c r="J2127" t="s">
        <v>2247</v>
      </c>
      <c r="K2127" t="s">
        <v>935</v>
      </c>
      <c r="L2127" t="s">
        <v>5384</v>
      </c>
      <c r="M2127" s="3" t="str">
        <f>HYPERLINK("..\..\Imagery\ScannedPhotos\1984\CG84-452.3.jpg")</f>
        <v>..\..\Imagery\ScannedPhotos\1984\CG84-452.3.jpg</v>
      </c>
    </row>
    <row r="2128" spans="1:13" x14ac:dyDescent="0.25">
      <c r="A2128" t="s">
        <v>5382</v>
      </c>
      <c r="B2128">
        <v>434813</v>
      </c>
      <c r="C2128">
        <v>5927575</v>
      </c>
      <c r="D2128">
        <v>21</v>
      </c>
      <c r="E2128" t="s">
        <v>15</v>
      </c>
      <c r="F2128" t="s">
        <v>5385</v>
      </c>
      <c r="G2128">
        <v>3</v>
      </c>
      <c r="H2128" t="s">
        <v>3982</v>
      </c>
      <c r="I2128" t="s">
        <v>122</v>
      </c>
      <c r="J2128" t="s">
        <v>2247</v>
      </c>
      <c r="K2128" t="s">
        <v>935</v>
      </c>
      <c r="L2128" t="s">
        <v>5386</v>
      </c>
      <c r="M2128" s="3" t="str">
        <f>HYPERLINK("..\..\Imagery\ScannedPhotos\1984\CG84-452.2.jpg")</f>
        <v>..\..\Imagery\ScannedPhotos\1984\CG84-452.2.jpg</v>
      </c>
    </row>
    <row r="2129" spans="1:13" x14ac:dyDescent="0.25">
      <c r="A2129" t="s">
        <v>5382</v>
      </c>
      <c r="B2129">
        <v>434813</v>
      </c>
      <c r="C2129">
        <v>5927575</v>
      </c>
      <c r="D2129">
        <v>21</v>
      </c>
      <c r="E2129" t="s">
        <v>15</v>
      </c>
      <c r="F2129" t="s">
        <v>5387</v>
      </c>
      <c r="G2129">
        <v>3</v>
      </c>
      <c r="H2129" t="s">
        <v>3982</v>
      </c>
      <c r="I2129" t="s">
        <v>119</v>
      </c>
      <c r="J2129" t="s">
        <v>2247</v>
      </c>
      <c r="K2129" t="s">
        <v>935</v>
      </c>
      <c r="L2129" t="s">
        <v>5388</v>
      </c>
      <c r="M2129" s="3" t="str">
        <f>HYPERLINK("..\..\Imagery\ScannedPhotos\1984\CG84-452.1.jpg")</f>
        <v>..\..\Imagery\ScannedPhotos\1984\CG84-452.1.jpg</v>
      </c>
    </row>
    <row r="2130" spans="1:13" x14ac:dyDescent="0.25">
      <c r="A2130" t="s">
        <v>5389</v>
      </c>
      <c r="B2130">
        <v>501900</v>
      </c>
      <c r="C2130">
        <v>5972350</v>
      </c>
      <c r="D2130">
        <v>21</v>
      </c>
      <c r="E2130" t="s">
        <v>15</v>
      </c>
      <c r="F2130" t="s">
        <v>5390</v>
      </c>
      <c r="G2130">
        <v>1</v>
      </c>
      <c r="H2130" t="s">
        <v>4820</v>
      </c>
      <c r="I2130" t="s">
        <v>217</v>
      </c>
      <c r="J2130" t="s">
        <v>4821</v>
      </c>
      <c r="K2130" t="s">
        <v>20</v>
      </c>
      <c r="L2130" t="s">
        <v>5391</v>
      </c>
      <c r="M2130" s="3" t="str">
        <f>HYPERLINK("..\..\Imagery\ScannedPhotos\1984\CG84-482.jpg")</f>
        <v>..\..\Imagery\ScannedPhotos\1984\CG84-482.jpg</v>
      </c>
    </row>
    <row r="2131" spans="1:13" x14ac:dyDescent="0.25">
      <c r="A2131" t="s">
        <v>5392</v>
      </c>
      <c r="B2131">
        <v>506009</v>
      </c>
      <c r="C2131">
        <v>5734663</v>
      </c>
      <c r="D2131">
        <v>21</v>
      </c>
      <c r="E2131" t="s">
        <v>15</v>
      </c>
      <c r="F2131" t="s">
        <v>5393</v>
      </c>
      <c r="G2131">
        <v>1</v>
      </c>
      <c r="H2131" t="s">
        <v>1513</v>
      </c>
      <c r="I2131" t="s">
        <v>214</v>
      </c>
      <c r="J2131" t="s">
        <v>1514</v>
      </c>
      <c r="K2131" t="s">
        <v>20</v>
      </c>
      <c r="L2131" t="s">
        <v>5394</v>
      </c>
      <c r="M2131" s="3" t="str">
        <f>HYPERLINK("..\..\Imagery\ScannedPhotos\1993\CG93-422.jpg")</f>
        <v>..\..\Imagery\ScannedPhotos\1993\CG93-422.jpg</v>
      </c>
    </row>
    <row r="2132" spans="1:13" x14ac:dyDescent="0.25">
      <c r="A2132" t="s">
        <v>5395</v>
      </c>
      <c r="B2132">
        <v>404895</v>
      </c>
      <c r="C2132">
        <v>5997118</v>
      </c>
      <c r="D2132">
        <v>21</v>
      </c>
      <c r="E2132" t="s">
        <v>15</v>
      </c>
      <c r="F2132" t="s">
        <v>5396</v>
      </c>
      <c r="G2132">
        <v>1</v>
      </c>
      <c r="H2132" t="s">
        <v>1156</v>
      </c>
      <c r="I2132" t="s">
        <v>222</v>
      </c>
      <c r="J2132" t="s">
        <v>95</v>
      </c>
      <c r="K2132" t="s">
        <v>20</v>
      </c>
      <c r="L2132" t="s">
        <v>5397</v>
      </c>
      <c r="M2132" s="3" t="str">
        <f>HYPERLINK("..\..\Imagery\ScannedPhotos\1980\CG80-130.jpg")</f>
        <v>..\..\Imagery\ScannedPhotos\1980\CG80-130.jpg</v>
      </c>
    </row>
    <row r="2133" spans="1:13" x14ac:dyDescent="0.25">
      <c r="A2133" t="s">
        <v>2877</v>
      </c>
      <c r="B2133">
        <v>487350</v>
      </c>
      <c r="C2133">
        <v>5845375</v>
      </c>
      <c r="D2133">
        <v>21</v>
      </c>
      <c r="E2133" t="s">
        <v>15</v>
      </c>
      <c r="F2133" t="s">
        <v>5398</v>
      </c>
      <c r="G2133">
        <v>6</v>
      </c>
      <c r="H2133" t="s">
        <v>1128</v>
      </c>
      <c r="I2133" t="s">
        <v>25</v>
      </c>
      <c r="J2133" t="s">
        <v>1129</v>
      </c>
      <c r="K2133" t="s">
        <v>20</v>
      </c>
      <c r="L2133" t="s">
        <v>2879</v>
      </c>
      <c r="M2133" s="3" t="str">
        <f>HYPERLINK("..\..\Imagery\ScannedPhotos\1991\VN91-108.6.jpg")</f>
        <v>..\..\Imagery\ScannedPhotos\1991\VN91-108.6.jpg</v>
      </c>
    </row>
    <row r="2134" spans="1:13" x14ac:dyDescent="0.25">
      <c r="A2134" t="s">
        <v>2877</v>
      </c>
      <c r="B2134">
        <v>487350</v>
      </c>
      <c r="C2134">
        <v>5845375</v>
      </c>
      <c r="D2134">
        <v>21</v>
      </c>
      <c r="E2134" t="s">
        <v>15</v>
      </c>
      <c r="F2134" t="s">
        <v>5399</v>
      </c>
      <c r="G2134">
        <v>6</v>
      </c>
      <c r="H2134" t="s">
        <v>1128</v>
      </c>
      <c r="I2134" t="s">
        <v>418</v>
      </c>
      <c r="J2134" t="s">
        <v>1129</v>
      </c>
      <c r="K2134" t="s">
        <v>20</v>
      </c>
      <c r="L2134" t="s">
        <v>5400</v>
      </c>
      <c r="M2134" s="3" t="str">
        <f>HYPERLINK("..\..\Imagery\ScannedPhotos\1991\VN91-108.3.jpg")</f>
        <v>..\..\Imagery\ScannedPhotos\1991\VN91-108.3.jpg</v>
      </c>
    </row>
    <row r="2135" spans="1:13" x14ac:dyDescent="0.25">
      <c r="A2135" t="s">
        <v>5401</v>
      </c>
      <c r="B2135">
        <v>569586</v>
      </c>
      <c r="C2135">
        <v>5830607</v>
      </c>
      <c r="D2135">
        <v>21</v>
      </c>
      <c r="E2135" t="s">
        <v>15</v>
      </c>
      <c r="F2135" t="s">
        <v>5402</v>
      </c>
      <c r="G2135">
        <v>3</v>
      </c>
      <c r="H2135" t="s">
        <v>17</v>
      </c>
      <c r="I2135" t="s">
        <v>65</v>
      </c>
      <c r="J2135" t="s">
        <v>19</v>
      </c>
      <c r="K2135" t="s">
        <v>20</v>
      </c>
      <c r="L2135" t="s">
        <v>2263</v>
      </c>
      <c r="M2135" s="3" t="str">
        <f>HYPERLINK("..\..\Imagery\ScannedPhotos\1986\JS86-339.3.jpg")</f>
        <v>..\..\Imagery\ScannedPhotos\1986\JS86-339.3.jpg</v>
      </c>
    </row>
    <row r="2136" spans="1:13" x14ac:dyDescent="0.25">
      <c r="A2136" t="s">
        <v>5403</v>
      </c>
      <c r="B2136">
        <v>573421</v>
      </c>
      <c r="C2136">
        <v>5865394</v>
      </c>
      <c r="D2136">
        <v>21</v>
      </c>
      <c r="E2136" t="s">
        <v>15</v>
      </c>
      <c r="F2136" t="s">
        <v>5404</v>
      </c>
      <c r="G2136">
        <v>1</v>
      </c>
      <c r="H2136" t="s">
        <v>2023</v>
      </c>
      <c r="I2136" t="s">
        <v>122</v>
      </c>
      <c r="J2136" t="s">
        <v>1052</v>
      </c>
      <c r="K2136" t="s">
        <v>20</v>
      </c>
      <c r="L2136" t="s">
        <v>2263</v>
      </c>
      <c r="M2136" s="3" t="str">
        <f>HYPERLINK("..\..\Imagery\ScannedPhotos\1986\JS86-349.jpg")</f>
        <v>..\..\Imagery\ScannedPhotos\1986\JS86-349.jpg</v>
      </c>
    </row>
    <row r="2137" spans="1:13" x14ac:dyDescent="0.25">
      <c r="A2137" t="s">
        <v>4792</v>
      </c>
      <c r="B2137">
        <v>581036</v>
      </c>
      <c r="C2137">
        <v>5930317</v>
      </c>
      <c r="D2137">
        <v>21</v>
      </c>
      <c r="E2137" t="s">
        <v>15</v>
      </c>
      <c r="F2137" t="s">
        <v>5405</v>
      </c>
      <c r="G2137">
        <v>3</v>
      </c>
      <c r="H2137" t="s">
        <v>1796</v>
      </c>
      <c r="I2137" t="s">
        <v>129</v>
      </c>
      <c r="J2137" t="s">
        <v>1797</v>
      </c>
      <c r="K2137" t="s">
        <v>20</v>
      </c>
      <c r="L2137" t="s">
        <v>5406</v>
      </c>
      <c r="M2137" s="3" t="str">
        <f>HYPERLINK("..\..\Imagery\ScannedPhotos\1985\VN85-420.3.jpg")</f>
        <v>..\..\Imagery\ScannedPhotos\1985\VN85-420.3.jpg</v>
      </c>
    </row>
    <row r="2138" spans="1:13" x14ac:dyDescent="0.25">
      <c r="A2138" t="s">
        <v>5407</v>
      </c>
      <c r="B2138">
        <v>566256</v>
      </c>
      <c r="C2138">
        <v>5872828</v>
      </c>
      <c r="D2138">
        <v>21</v>
      </c>
      <c r="E2138" t="s">
        <v>15</v>
      </c>
      <c r="F2138" t="s">
        <v>5408</v>
      </c>
      <c r="G2138">
        <v>1</v>
      </c>
      <c r="H2138" t="s">
        <v>1796</v>
      </c>
      <c r="I2138" t="s">
        <v>143</v>
      </c>
      <c r="J2138" t="s">
        <v>628</v>
      </c>
      <c r="K2138" t="s">
        <v>20</v>
      </c>
      <c r="L2138" t="s">
        <v>5409</v>
      </c>
      <c r="M2138" s="3" t="str">
        <f>HYPERLINK("..\..\Imagery\ScannedPhotos\1985\VN85-441.jpg")</f>
        <v>..\..\Imagery\ScannedPhotos\1985\VN85-441.jpg</v>
      </c>
    </row>
    <row r="2139" spans="1:13" x14ac:dyDescent="0.25">
      <c r="A2139" t="s">
        <v>5410</v>
      </c>
      <c r="B2139">
        <v>576663</v>
      </c>
      <c r="C2139">
        <v>5872970</v>
      </c>
      <c r="D2139">
        <v>21</v>
      </c>
      <c r="E2139" t="s">
        <v>15</v>
      </c>
      <c r="F2139" t="s">
        <v>5411</v>
      </c>
      <c r="G2139">
        <v>1</v>
      </c>
      <c r="H2139" t="s">
        <v>1796</v>
      </c>
      <c r="I2139" t="s">
        <v>52</v>
      </c>
      <c r="J2139" t="s">
        <v>628</v>
      </c>
      <c r="K2139" t="s">
        <v>20</v>
      </c>
      <c r="L2139" t="s">
        <v>5412</v>
      </c>
      <c r="M2139" s="3" t="str">
        <f>HYPERLINK("..\..\Imagery\ScannedPhotos\1985\VN85-466.jpg")</f>
        <v>..\..\Imagery\ScannedPhotos\1985\VN85-466.jpg</v>
      </c>
    </row>
    <row r="2140" spans="1:13" x14ac:dyDescent="0.25">
      <c r="A2140" t="s">
        <v>5413</v>
      </c>
      <c r="B2140">
        <v>577679</v>
      </c>
      <c r="C2140">
        <v>5873640</v>
      </c>
      <c r="D2140">
        <v>21</v>
      </c>
      <c r="E2140" t="s">
        <v>15</v>
      </c>
      <c r="F2140" t="s">
        <v>5414</v>
      </c>
      <c r="G2140">
        <v>2</v>
      </c>
      <c r="H2140" t="s">
        <v>1796</v>
      </c>
      <c r="I2140" t="s">
        <v>401</v>
      </c>
      <c r="J2140" t="s">
        <v>628</v>
      </c>
      <c r="K2140" t="s">
        <v>20</v>
      </c>
      <c r="L2140" t="s">
        <v>5415</v>
      </c>
      <c r="M2140" s="3" t="str">
        <f>HYPERLINK("..\..\Imagery\ScannedPhotos\1985\VN85-468.2.jpg")</f>
        <v>..\..\Imagery\ScannedPhotos\1985\VN85-468.2.jpg</v>
      </c>
    </row>
    <row r="2141" spans="1:13" x14ac:dyDescent="0.25">
      <c r="A2141" t="s">
        <v>5413</v>
      </c>
      <c r="B2141">
        <v>577679</v>
      </c>
      <c r="C2141">
        <v>5873640</v>
      </c>
      <c r="D2141">
        <v>21</v>
      </c>
      <c r="E2141" t="s">
        <v>15</v>
      </c>
      <c r="F2141" t="s">
        <v>5416</v>
      </c>
      <c r="G2141">
        <v>2</v>
      </c>
      <c r="H2141" t="s">
        <v>1796</v>
      </c>
      <c r="I2141" t="s">
        <v>65</v>
      </c>
      <c r="J2141" t="s">
        <v>628</v>
      </c>
      <c r="K2141" t="s">
        <v>20</v>
      </c>
      <c r="L2141" t="s">
        <v>5415</v>
      </c>
      <c r="M2141" s="3" t="str">
        <f>HYPERLINK("..\..\Imagery\ScannedPhotos\1985\VN85-468.1.jpg")</f>
        <v>..\..\Imagery\ScannedPhotos\1985\VN85-468.1.jpg</v>
      </c>
    </row>
    <row r="2142" spans="1:13" x14ac:dyDescent="0.25">
      <c r="A2142" t="s">
        <v>1460</v>
      </c>
      <c r="B2142">
        <v>583404</v>
      </c>
      <c r="C2142">
        <v>5881270</v>
      </c>
      <c r="D2142">
        <v>21</v>
      </c>
      <c r="E2142" t="s">
        <v>15</v>
      </c>
      <c r="F2142" t="s">
        <v>5417</v>
      </c>
      <c r="G2142">
        <v>2</v>
      </c>
      <c r="H2142" t="s">
        <v>1462</v>
      </c>
      <c r="I2142" t="s">
        <v>418</v>
      </c>
      <c r="J2142" t="s">
        <v>1463</v>
      </c>
      <c r="K2142" t="s">
        <v>20</v>
      </c>
      <c r="L2142" t="s">
        <v>5418</v>
      </c>
      <c r="M2142" s="3" t="str">
        <f>HYPERLINK("..\..\Imagery\ScannedPhotos\1985\VN85-493.1.jpg")</f>
        <v>..\..\Imagery\ScannedPhotos\1985\VN85-493.1.jpg</v>
      </c>
    </row>
    <row r="2143" spans="1:13" x14ac:dyDescent="0.25">
      <c r="A2143" t="s">
        <v>1126</v>
      </c>
      <c r="B2143">
        <v>487675</v>
      </c>
      <c r="C2143">
        <v>5846992</v>
      </c>
      <c r="D2143">
        <v>21</v>
      </c>
      <c r="E2143" t="s">
        <v>15</v>
      </c>
      <c r="F2143" t="s">
        <v>5419</v>
      </c>
      <c r="G2143">
        <v>3</v>
      </c>
      <c r="H2143" t="s">
        <v>1128</v>
      </c>
      <c r="I2143" t="s">
        <v>209</v>
      </c>
      <c r="J2143" t="s">
        <v>1129</v>
      </c>
      <c r="K2143" t="s">
        <v>20</v>
      </c>
      <c r="L2143" t="s">
        <v>5420</v>
      </c>
      <c r="M2143" s="3" t="str">
        <f>HYPERLINK("..\..\Imagery\ScannedPhotos\1991\VN91-106.1.jpg")</f>
        <v>..\..\Imagery\ScannedPhotos\1991\VN91-106.1.jpg</v>
      </c>
    </row>
    <row r="2144" spans="1:13" x14ac:dyDescent="0.25">
      <c r="A2144" t="s">
        <v>3939</v>
      </c>
      <c r="B2144">
        <v>547654</v>
      </c>
      <c r="C2144">
        <v>5822263</v>
      </c>
      <c r="D2144">
        <v>21</v>
      </c>
      <c r="E2144" t="s">
        <v>15</v>
      </c>
      <c r="F2144" t="s">
        <v>5421</v>
      </c>
      <c r="G2144">
        <v>18</v>
      </c>
      <c r="H2144" t="s">
        <v>1390</v>
      </c>
      <c r="I2144" t="s">
        <v>281</v>
      </c>
      <c r="J2144" t="s">
        <v>1391</v>
      </c>
      <c r="K2144" t="s">
        <v>535</v>
      </c>
      <c r="L2144" t="s">
        <v>5422</v>
      </c>
      <c r="M2144" s="3" t="str">
        <f>HYPERLINK("..\..\Imagery\ScannedPhotos\1986\CG86-088.17.jpg")</f>
        <v>..\..\Imagery\ScannedPhotos\1986\CG86-088.17.jpg</v>
      </c>
    </row>
    <row r="2145" spans="1:13" x14ac:dyDescent="0.25">
      <c r="A2145" t="s">
        <v>3939</v>
      </c>
      <c r="B2145">
        <v>547654</v>
      </c>
      <c r="C2145">
        <v>5822263</v>
      </c>
      <c r="D2145">
        <v>21</v>
      </c>
      <c r="E2145" t="s">
        <v>15</v>
      </c>
      <c r="F2145" t="s">
        <v>5423</v>
      </c>
      <c r="G2145">
        <v>18</v>
      </c>
      <c r="H2145" t="s">
        <v>1390</v>
      </c>
      <c r="I2145" t="s">
        <v>79</v>
      </c>
      <c r="J2145" t="s">
        <v>1391</v>
      </c>
      <c r="K2145" t="s">
        <v>535</v>
      </c>
      <c r="L2145" t="s">
        <v>5424</v>
      </c>
      <c r="M2145" s="3" t="str">
        <f>HYPERLINK("..\..\Imagery\ScannedPhotos\1986\CG86-088.16.jpg")</f>
        <v>..\..\Imagery\ScannedPhotos\1986\CG86-088.16.jpg</v>
      </c>
    </row>
    <row r="2146" spans="1:13" x14ac:dyDescent="0.25">
      <c r="A2146" t="s">
        <v>3939</v>
      </c>
      <c r="B2146">
        <v>547654</v>
      </c>
      <c r="C2146">
        <v>5822263</v>
      </c>
      <c r="D2146">
        <v>21</v>
      </c>
      <c r="E2146" t="s">
        <v>15</v>
      </c>
      <c r="F2146" t="s">
        <v>5425</v>
      </c>
      <c r="G2146">
        <v>18</v>
      </c>
      <c r="H2146" t="s">
        <v>1390</v>
      </c>
      <c r="I2146" t="s">
        <v>294</v>
      </c>
      <c r="J2146" t="s">
        <v>1391</v>
      </c>
      <c r="K2146" t="s">
        <v>535</v>
      </c>
      <c r="L2146" t="s">
        <v>5426</v>
      </c>
      <c r="M2146" s="3" t="str">
        <f>HYPERLINK("..\..\Imagery\ScannedPhotos\1986\CG86-088.15.jpg")</f>
        <v>..\..\Imagery\ScannedPhotos\1986\CG86-088.15.jpg</v>
      </c>
    </row>
    <row r="2147" spans="1:13" x14ac:dyDescent="0.25">
      <c r="A2147" t="s">
        <v>5427</v>
      </c>
      <c r="B2147">
        <v>547488</v>
      </c>
      <c r="C2147">
        <v>5822469</v>
      </c>
      <c r="D2147">
        <v>21</v>
      </c>
      <c r="E2147" t="s">
        <v>15</v>
      </c>
      <c r="F2147" t="s">
        <v>5428</v>
      </c>
      <c r="G2147">
        <v>1</v>
      </c>
      <c r="H2147" t="s">
        <v>656</v>
      </c>
      <c r="I2147" t="s">
        <v>217</v>
      </c>
      <c r="J2147" t="s">
        <v>657</v>
      </c>
      <c r="K2147" t="s">
        <v>20</v>
      </c>
      <c r="L2147" t="s">
        <v>5429</v>
      </c>
      <c r="M2147" s="3" t="str">
        <f>HYPERLINK("..\..\Imagery\ScannedPhotos\1986\CG86-089.jpg")</f>
        <v>..\..\Imagery\ScannedPhotos\1986\CG86-089.jpg</v>
      </c>
    </row>
    <row r="2148" spans="1:13" x14ac:dyDescent="0.25">
      <c r="A2148" t="s">
        <v>5430</v>
      </c>
      <c r="B2148">
        <v>588821</v>
      </c>
      <c r="C2148">
        <v>5780673</v>
      </c>
      <c r="D2148">
        <v>21</v>
      </c>
      <c r="E2148" t="s">
        <v>15</v>
      </c>
      <c r="F2148" t="s">
        <v>5431</v>
      </c>
      <c r="G2148">
        <v>1</v>
      </c>
      <c r="H2148" t="s">
        <v>1688</v>
      </c>
      <c r="I2148" t="s">
        <v>126</v>
      </c>
      <c r="J2148" t="s">
        <v>1052</v>
      </c>
      <c r="K2148" t="s">
        <v>20</v>
      </c>
      <c r="L2148" t="s">
        <v>5432</v>
      </c>
      <c r="M2148" s="3" t="str">
        <f>HYPERLINK("..\..\Imagery\ScannedPhotos\1987\VN87-399.jpg")</f>
        <v>..\..\Imagery\ScannedPhotos\1987\VN87-399.jpg</v>
      </c>
    </row>
    <row r="2149" spans="1:13" x14ac:dyDescent="0.25">
      <c r="A2149" t="s">
        <v>1686</v>
      </c>
      <c r="B2149">
        <v>586046</v>
      </c>
      <c r="C2149">
        <v>5782004</v>
      </c>
      <c r="D2149">
        <v>21</v>
      </c>
      <c r="E2149" t="s">
        <v>15</v>
      </c>
      <c r="F2149" t="s">
        <v>5433</v>
      </c>
      <c r="G2149">
        <v>3</v>
      </c>
      <c r="H2149" t="s">
        <v>1688</v>
      </c>
      <c r="I2149" t="s">
        <v>143</v>
      </c>
      <c r="J2149" t="s">
        <v>1052</v>
      </c>
      <c r="K2149" t="s">
        <v>56</v>
      </c>
      <c r="L2149" t="s">
        <v>5434</v>
      </c>
      <c r="M2149" s="3" t="str">
        <f>HYPERLINK("..\..\Imagery\ScannedPhotos\1987\VN87-407.3.jpg")</f>
        <v>..\..\Imagery\ScannedPhotos\1987\VN87-407.3.jpg</v>
      </c>
    </row>
    <row r="2150" spans="1:13" x14ac:dyDescent="0.25">
      <c r="A2150" t="s">
        <v>1686</v>
      </c>
      <c r="B2150">
        <v>586046</v>
      </c>
      <c r="C2150">
        <v>5782004</v>
      </c>
      <c r="D2150">
        <v>21</v>
      </c>
      <c r="E2150" t="s">
        <v>15</v>
      </c>
      <c r="F2150" t="s">
        <v>5435</v>
      </c>
      <c r="G2150">
        <v>3</v>
      </c>
      <c r="H2150" t="s">
        <v>1688</v>
      </c>
      <c r="I2150" t="s">
        <v>132</v>
      </c>
      <c r="J2150" t="s">
        <v>1052</v>
      </c>
      <c r="K2150" t="s">
        <v>20</v>
      </c>
      <c r="L2150" t="s">
        <v>1689</v>
      </c>
      <c r="M2150" s="3" t="str">
        <f>HYPERLINK("..\..\Imagery\ScannedPhotos\1987\VN87-407.1.jpg")</f>
        <v>..\..\Imagery\ScannedPhotos\1987\VN87-407.1.jpg</v>
      </c>
    </row>
    <row r="2151" spans="1:13" x14ac:dyDescent="0.25">
      <c r="A2151" t="s">
        <v>5436</v>
      </c>
      <c r="B2151">
        <v>527239</v>
      </c>
      <c r="C2151">
        <v>5947504</v>
      </c>
      <c r="D2151">
        <v>21</v>
      </c>
      <c r="E2151" t="s">
        <v>15</v>
      </c>
      <c r="F2151" t="s">
        <v>5437</v>
      </c>
      <c r="G2151">
        <v>3</v>
      </c>
      <c r="H2151" t="s">
        <v>221</v>
      </c>
      <c r="I2151" t="s">
        <v>52</v>
      </c>
      <c r="J2151" t="s">
        <v>48</v>
      </c>
      <c r="K2151" t="s">
        <v>20</v>
      </c>
      <c r="L2151" t="s">
        <v>5438</v>
      </c>
      <c r="M2151" s="3" t="str">
        <f>HYPERLINK("..\..\Imagery\ScannedPhotos\1981\CG81-389.1.jpg")</f>
        <v>..\..\Imagery\ScannedPhotos\1981\CG81-389.1.jpg</v>
      </c>
    </row>
    <row r="2152" spans="1:13" x14ac:dyDescent="0.25">
      <c r="A2152" t="s">
        <v>5436</v>
      </c>
      <c r="B2152">
        <v>527239</v>
      </c>
      <c r="C2152">
        <v>5947504</v>
      </c>
      <c r="D2152">
        <v>21</v>
      </c>
      <c r="E2152" t="s">
        <v>15</v>
      </c>
      <c r="F2152" t="s">
        <v>5439</v>
      </c>
      <c r="G2152">
        <v>3</v>
      </c>
      <c r="H2152" t="s">
        <v>221</v>
      </c>
      <c r="I2152" t="s">
        <v>65</v>
      </c>
      <c r="J2152" t="s">
        <v>48</v>
      </c>
      <c r="K2152" t="s">
        <v>20</v>
      </c>
      <c r="L2152" t="s">
        <v>5440</v>
      </c>
      <c r="M2152" s="3" t="str">
        <f>HYPERLINK("..\..\Imagery\ScannedPhotos\1981\CG81-389.2.jpg")</f>
        <v>..\..\Imagery\ScannedPhotos\1981\CG81-389.2.jpg</v>
      </c>
    </row>
    <row r="2153" spans="1:13" x14ac:dyDescent="0.25">
      <c r="A2153" t="s">
        <v>1885</v>
      </c>
      <c r="B2153">
        <v>578631</v>
      </c>
      <c r="C2153">
        <v>5826669</v>
      </c>
      <c r="D2153">
        <v>21</v>
      </c>
      <c r="E2153" t="s">
        <v>15</v>
      </c>
      <c r="F2153" t="s">
        <v>5441</v>
      </c>
      <c r="G2153">
        <v>2</v>
      </c>
      <c r="H2153" t="s">
        <v>288</v>
      </c>
      <c r="I2153" t="s">
        <v>143</v>
      </c>
      <c r="J2153" t="s">
        <v>289</v>
      </c>
      <c r="K2153" t="s">
        <v>20</v>
      </c>
      <c r="L2153" t="s">
        <v>5442</v>
      </c>
      <c r="M2153" s="3" t="str">
        <f>HYPERLINK("..\..\Imagery\ScannedPhotos\1986\CG86-693.1.jpg")</f>
        <v>..\..\Imagery\ScannedPhotos\1986\CG86-693.1.jpg</v>
      </c>
    </row>
    <row r="2154" spans="1:13" x14ac:dyDescent="0.25">
      <c r="A2154" t="s">
        <v>134</v>
      </c>
      <c r="B2154">
        <v>582169</v>
      </c>
      <c r="C2154">
        <v>5899769</v>
      </c>
      <c r="D2154">
        <v>21</v>
      </c>
      <c r="E2154" t="s">
        <v>15</v>
      </c>
      <c r="F2154" t="s">
        <v>5443</v>
      </c>
      <c r="G2154">
        <v>6</v>
      </c>
      <c r="H2154" t="s">
        <v>136</v>
      </c>
      <c r="I2154" t="s">
        <v>74</v>
      </c>
      <c r="J2154" t="s">
        <v>138</v>
      </c>
      <c r="K2154" t="s">
        <v>20</v>
      </c>
      <c r="L2154" t="s">
        <v>5444</v>
      </c>
      <c r="M2154" s="3" t="str">
        <f>HYPERLINK("..\..\Imagery\ScannedPhotos\1985\GM85-536.5.jpg")</f>
        <v>..\..\Imagery\ScannedPhotos\1985\GM85-536.5.jpg</v>
      </c>
    </row>
    <row r="2155" spans="1:13" x14ac:dyDescent="0.25">
      <c r="A2155" t="s">
        <v>5445</v>
      </c>
      <c r="B2155">
        <v>530029</v>
      </c>
      <c r="C2155">
        <v>5957289</v>
      </c>
      <c r="D2155">
        <v>21</v>
      </c>
      <c r="E2155" t="s">
        <v>15</v>
      </c>
      <c r="F2155" t="s">
        <v>5446</v>
      </c>
      <c r="G2155">
        <v>1</v>
      </c>
      <c r="H2155" t="s">
        <v>718</v>
      </c>
      <c r="I2155" t="s">
        <v>65</v>
      </c>
      <c r="J2155" t="s">
        <v>48</v>
      </c>
      <c r="K2155" t="s">
        <v>20</v>
      </c>
      <c r="L2155" t="s">
        <v>5447</v>
      </c>
      <c r="M2155" s="3" t="str">
        <f>HYPERLINK("..\..\Imagery\ScannedPhotos\1981\VO81-143.jpg")</f>
        <v>..\..\Imagery\ScannedPhotos\1981\VO81-143.jpg</v>
      </c>
    </row>
    <row r="2156" spans="1:13" x14ac:dyDescent="0.25">
      <c r="A2156" t="s">
        <v>3156</v>
      </c>
      <c r="B2156">
        <v>529988</v>
      </c>
      <c r="C2156">
        <v>5956544</v>
      </c>
      <c r="D2156">
        <v>21</v>
      </c>
      <c r="E2156" t="s">
        <v>15</v>
      </c>
      <c r="F2156" t="s">
        <v>5448</v>
      </c>
      <c r="G2156">
        <v>4</v>
      </c>
      <c r="H2156" t="s">
        <v>3158</v>
      </c>
      <c r="I2156" t="s">
        <v>281</v>
      </c>
      <c r="J2156" t="s">
        <v>48</v>
      </c>
      <c r="K2156" t="s">
        <v>20</v>
      </c>
      <c r="L2156" t="s">
        <v>5449</v>
      </c>
      <c r="M2156" s="3" t="str">
        <f>HYPERLINK("..\..\Imagery\ScannedPhotos\1981\VO81-147.1.jpg")</f>
        <v>..\..\Imagery\ScannedPhotos\1981\VO81-147.1.jpg</v>
      </c>
    </row>
    <row r="2157" spans="1:13" x14ac:dyDescent="0.25">
      <c r="A2157" t="s">
        <v>5450</v>
      </c>
      <c r="B2157">
        <v>488140</v>
      </c>
      <c r="C2157">
        <v>5821467</v>
      </c>
      <c r="D2157">
        <v>21</v>
      </c>
      <c r="E2157" t="s">
        <v>15</v>
      </c>
      <c r="F2157" t="s">
        <v>5451</v>
      </c>
      <c r="G2157">
        <v>3</v>
      </c>
      <c r="H2157" t="s">
        <v>2521</v>
      </c>
      <c r="I2157" t="s">
        <v>94</v>
      </c>
      <c r="J2157" t="s">
        <v>2522</v>
      </c>
      <c r="K2157" t="s">
        <v>20</v>
      </c>
      <c r="L2157" t="s">
        <v>5452</v>
      </c>
      <c r="M2157" s="3" t="str">
        <f>HYPERLINK("..\..\Imagery\ScannedPhotos\1991\VN91-388.2.jpg")</f>
        <v>..\..\Imagery\ScannedPhotos\1991\VN91-388.2.jpg</v>
      </c>
    </row>
    <row r="2158" spans="1:13" x14ac:dyDescent="0.25">
      <c r="A2158" t="s">
        <v>5453</v>
      </c>
      <c r="B2158">
        <v>489358</v>
      </c>
      <c r="C2158">
        <v>5823025</v>
      </c>
      <c r="D2158">
        <v>21</v>
      </c>
      <c r="E2158" t="s">
        <v>15</v>
      </c>
      <c r="F2158" t="s">
        <v>5454</v>
      </c>
      <c r="G2158">
        <v>3</v>
      </c>
      <c r="H2158" t="s">
        <v>2521</v>
      </c>
      <c r="I2158" t="s">
        <v>217</v>
      </c>
      <c r="J2158" t="s">
        <v>2522</v>
      </c>
      <c r="K2158" t="s">
        <v>56</v>
      </c>
      <c r="L2158" t="s">
        <v>5455</v>
      </c>
      <c r="M2158" s="3" t="str">
        <f>HYPERLINK("..\..\Imagery\ScannedPhotos\1991\VN91-392.2.jpg")</f>
        <v>..\..\Imagery\ScannedPhotos\1991\VN91-392.2.jpg</v>
      </c>
    </row>
    <row r="2159" spans="1:13" x14ac:dyDescent="0.25">
      <c r="A2159" t="s">
        <v>5453</v>
      </c>
      <c r="B2159">
        <v>489358</v>
      </c>
      <c r="C2159">
        <v>5823025</v>
      </c>
      <c r="D2159">
        <v>21</v>
      </c>
      <c r="E2159" t="s">
        <v>15</v>
      </c>
      <c r="F2159" t="s">
        <v>5456</v>
      </c>
      <c r="G2159">
        <v>3</v>
      </c>
      <c r="H2159" t="s">
        <v>2521</v>
      </c>
      <c r="I2159" t="s">
        <v>214</v>
      </c>
      <c r="J2159" t="s">
        <v>2522</v>
      </c>
      <c r="K2159" t="s">
        <v>56</v>
      </c>
      <c r="L2159" t="s">
        <v>5455</v>
      </c>
      <c r="M2159" s="3" t="str">
        <f>HYPERLINK("..\..\Imagery\ScannedPhotos\1991\VN91-392.3.jpg")</f>
        <v>..\..\Imagery\ScannedPhotos\1991\VN91-392.3.jpg</v>
      </c>
    </row>
    <row r="2160" spans="1:13" x14ac:dyDescent="0.25">
      <c r="A2160" t="s">
        <v>5457</v>
      </c>
      <c r="B2160">
        <v>453787</v>
      </c>
      <c r="C2160">
        <v>5871500</v>
      </c>
      <c r="D2160">
        <v>21</v>
      </c>
      <c r="E2160" t="s">
        <v>15</v>
      </c>
      <c r="F2160" t="s">
        <v>5458</v>
      </c>
      <c r="G2160">
        <v>2</v>
      </c>
      <c r="H2160" t="s">
        <v>2521</v>
      </c>
      <c r="I2160" t="s">
        <v>304</v>
      </c>
      <c r="J2160" t="s">
        <v>2522</v>
      </c>
      <c r="K2160" t="s">
        <v>20</v>
      </c>
      <c r="L2160" t="s">
        <v>322</v>
      </c>
      <c r="M2160" s="3" t="str">
        <f>HYPERLINK("..\..\Imagery\ScannedPhotos\1991\VN91-403.2.jpg")</f>
        <v>..\..\Imagery\ScannedPhotos\1991\VN91-403.2.jpg</v>
      </c>
    </row>
    <row r="2161" spans="1:13" x14ac:dyDescent="0.25">
      <c r="A2161" t="s">
        <v>5459</v>
      </c>
      <c r="B2161">
        <v>448045</v>
      </c>
      <c r="C2161">
        <v>5913595</v>
      </c>
      <c r="D2161">
        <v>21</v>
      </c>
      <c r="E2161" t="s">
        <v>15</v>
      </c>
      <c r="F2161" t="s">
        <v>5460</v>
      </c>
      <c r="G2161">
        <v>3</v>
      </c>
      <c r="H2161" t="s">
        <v>5461</v>
      </c>
      <c r="I2161" t="s">
        <v>114</v>
      </c>
      <c r="J2161" t="s">
        <v>2247</v>
      </c>
      <c r="K2161" t="s">
        <v>20</v>
      </c>
      <c r="L2161" t="s">
        <v>5462</v>
      </c>
      <c r="M2161" s="3" t="str">
        <f>HYPERLINK("..\..\Imagery\ScannedPhotos\1984\NN84-375.2.jpg")</f>
        <v>..\..\Imagery\ScannedPhotos\1984\NN84-375.2.jpg</v>
      </c>
    </row>
    <row r="2162" spans="1:13" x14ac:dyDescent="0.25">
      <c r="A2162" t="s">
        <v>5463</v>
      </c>
      <c r="B2162">
        <v>448721</v>
      </c>
      <c r="C2162">
        <v>5915301</v>
      </c>
      <c r="D2162">
        <v>21</v>
      </c>
      <c r="E2162" t="s">
        <v>15</v>
      </c>
      <c r="F2162" t="s">
        <v>5464</v>
      </c>
      <c r="G2162">
        <v>4</v>
      </c>
      <c r="H2162" t="s">
        <v>3308</v>
      </c>
      <c r="I2162" t="s">
        <v>137</v>
      </c>
      <c r="J2162" t="s">
        <v>3309</v>
      </c>
      <c r="K2162" t="s">
        <v>20</v>
      </c>
      <c r="L2162" t="s">
        <v>5465</v>
      </c>
      <c r="M2162" s="3" t="str">
        <f>HYPERLINK("..\..\Imagery\ScannedPhotos\1984\NN84-381.1.jpg")</f>
        <v>..\..\Imagery\ScannedPhotos\1984\NN84-381.1.jpg</v>
      </c>
    </row>
    <row r="2163" spans="1:13" x14ac:dyDescent="0.25">
      <c r="A2163" t="s">
        <v>5463</v>
      </c>
      <c r="B2163">
        <v>448721</v>
      </c>
      <c r="C2163">
        <v>5915301</v>
      </c>
      <c r="D2163">
        <v>21</v>
      </c>
      <c r="E2163" t="s">
        <v>15</v>
      </c>
      <c r="F2163" t="s">
        <v>5466</v>
      </c>
      <c r="G2163">
        <v>4</v>
      </c>
      <c r="H2163" t="s">
        <v>3308</v>
      </c>
      <c r="I2163" t="s">
        <v>18</v>
      </c>
      <c r="J2163" t="s">
        <v>3309</v>
      </c>
      <c r="K2163" t="s">
        <v>20</v>
      </c>
      <c r="L2163" t="s">
        <v>5465</v>
      </c>
      <c r="M2163" s="3" t="str">
        <f>HYPERLINK("..\..\Imagery\ScannedPhotos\1984\NN84-381.2.jpg")</f>
        <v>..\..\Imagery\ScannedPhotos\1984\NN84-381.2.jpg</v>
      </c>
    </row>
    <row r="2164" spans="1:13" x14ac:dyDescent="0.25">
      <c r="A2164" t="s">
        <v>1426</v>
      </c>
      <c r="B2164">
        <v>577838</v>
      </c>
      <c r="C2164">
        <v>5825948</v>
      </c>
      <c r="D2164">
        <v>21</v>
      </c>
      <c r="E2164" t="s">
        <v>15</v>
      </c>
      <c r="F2164" t="s">
        <v>5467</v>
      </c>
      <c r="G2164">
        <v>2</v>
      </c>
      <c r="H2164" t="s">
        <v>1232</v>
      </c>
      <c r="I2164" t="s">
        <v>304</v>
      </c>
      <c r="J2164" t="s">
        <v>1233</v>
      </c>
      <c r="K2164" t="s">
        <v>20</v>
      </c>
      <c r="L2164" t="s">
        <v>1428</v>
      </c>
      <c r="M2164" s="3" t="str">
        <f>HYPERLINK("..\..\Imagery\ScannedPhotos\1986\MN86-210.1.jpg")</f>
        <v>..\..\Imagery\ScannedPhotos\1986\MN86-210.1.jpg</v>
      </c>
    </row>
    <row r="2165" spans="1:13" x14ac:dyDescent="0.25">
      <c r="A2165" t="s">
        <v>5468</v>
      </c>
      <c r="B2165">
        <v>579525</v>
      </c>
      <c r="C2165">
        <v>5827833</v>
      </c>
      <c r="D2165">
        <v>21</v>
      </c>
      <c r="E2165" t="s">
        <v>15</v>
      </c>
      <c r="F2165" t="s">
        <v>5469</v>
      </c>
      <c r="G2165">
        <v>1</v>
      </c>
      <c r="H2165" t="s">
        <v>99</v>
      </c>
      <c r="I2165" t="s">
        <v>126</v>
      </c>
      <c r="J2165" t="s">
        <v>100</v>
      </c>
      <c r="K2165" t="s">
        <v>20</v>
      </c>
      <c r="L2165" t="s">
        <v>5470</v>
      </c>
      <c r="M2165" s="3" t="str">
        <f>HYPERLINK("..\..\Imagery\ScannedPhotos\1986\MN86-408.jpg")</f>
        <v>..\..\Imagery\ScannedPhotos\1986\MN86-408.jpg</v>
      </c>
    </row>
    <row r="2166" spans="1:13" x14ac:dyDescent="0.25">
      <c r="A2166" t="s">
        <v>5471</v>
      </c>
      <c r="B2166">
        <v>581960</v>
      </c>
      <c r="C2166">
        <v>5826740</v>
      </c>
      <c r="D2166">
        <v>21</v>
      </c>
      <c r="E2166" t="s">
        <v>15</v>
      </c>
      <c r="F2166" t="s">
        <v>5472</v>
      </c>
      <c r="G2166">
        <v>1</v>
      </c>
      <c r="H2166" t="s">
        <v>99</v>
      </c>
      <c r="I2166" t="s">
        <v>108</v>
      </c>
      <c r="J2166" t="s">
        <v>100</v>
      </c>
      <c r="K2166" t="s">
        <v>20</v>
      </c>
      <c r="L2166" t="s">
        <v>5473</v>
      </c>
      <c r="M2166" s="3" t="str">
        <f>HYPERLINK("..\..\Imagery\ScannedPhotos\1986\MN86-413.jpg")</f>
        <v>..\..\Imagery\ScannedPhotos\1986\MN86-413.jpg</v>
      </c>
    </row>
    <row r="2167" spans="1:13" x14ac:dyDescent="0.25">
      <c r="A2167" t="s">
        <v>4811</v>
      </c>
      <c r="B2167">
        <v>578129</v>
      </c>
      <c r="C2167">
        <v>5921042</v>
      </c>
      <c r="D2167">
        <v>21</v>
      </c>
      <c r="E2167" t="s">
        <v>15</v>
      </c>
      <c r="F2167" t="s">
        <v>5474</v>
      </c>
      <c r="G2167">
        <v>4</v>
      </c>
      <c r="H2167" t="s">
        <v>1994</v>
      </c>
      <c r="I2167" t="s">
        <v>214</v>
      </c>
      <c r="J2167" t="s">
        <v>138</v>
      </c>
      <c r="K2167" t="s">
        <v>20</v>
      </c>
      <c r="L2167" t="s">
        <v>5475</v>
      </c>
      <c r="M2167" s="3" t="str">
        <f>HYPERLINK("..\..\Imagery\ScannedPhotos\1985\GM85-590.4.jpg")</f>
        <v>..\..\Imagery\ScannedPhotos\1985\GM85-590.4.jpg</v>
      </c>
    </row>
    <row r="2168" spans="1:13" x14ac:dyDescent="0.25">
      <c r="A2168" t="s">
        <v>4811</v>
      </c>
      <c r="B2168">
        <v>578129</v>
      </c>
      <c r="C2168">
        <v>5921042</v>
      </c>
      <c r="D2168">
        <v>21</v>
      </c>
      <c r="E2168" t="s">
        <v>15</v>
      </c>
      <c r="F2168" t="s">
        <v>5476</v>
      </c>
      <c r="G2168">
        <v>4</v>
      </c>
      <c r="H2168" t="s">
        <v>1994</v>
      </c>
      <c r="I2168" t="s">
        <v>386</v>
      </c>
      <c r="J2168" t="s">
        <v>138</v>
      </c>
      <c r="K2168" t="s">
        <v>20</v>
      </c>
      <c r="L2168" t="s">
        <v>1020</v>
      </c>
      <c r="M2168" s="3" t="str">
        <f>HYPERLINK("..\..\Imagery\ScannedPhotos\1985\GM85-590.2.jpg")</f>
        <v>..\..\Imagery\ScannedPhotos\1985\GM85-590.2.jpg</v>
      </c>
    </row>
    <row r="2169" spans="1:13" x14ac:dyDescent="0.25">
      <c r="A2169" t="s">
        <v>4811</v>
      </c>
      <c r="B2169">
        <v>578129</v>
      </c>
      <c r="C2169">
        <v>5921042</v>
      </c>
      <c r="D2169">
        <v>21</v>
      </c>
      <c r="E2169" t="s">
        <v>15</v>
      </c>
      <c r="F2169" t="s">
        <v>5477</v>
      </c>
      <c r="G2169">
        <v>4</v>
      </c>
      <c r="H2169" t="s">
        <v>1994</v>
      </c>
      <c r="I2169" t="s">
        <v>217</v>
      </c>
      <c r="J2169" t="s">
        <v>138</v>
      </c>
      <c r="K2169" t="s">
        <v>20</v>
      </c>
      <c r="L2169" t="s">
        <v>5475</v>
      </c>
      <c r="M2169" s="3" t="str">
        <f>HYPERLINK("..\..\Imagery\ScannedPhotos\1985\GM85-590.3.jpg")</f>
        <v>..\..\Imagery\ScannedPhotos\1985\GM85-590.3.jpg</v>
      </c>
    </row>
    <row r="2170" spans="1:13" x14ac:dyDescent="0.25">
      <c r="A2170" t="s">
        <v>5478</v>
      </c>
      <c r="B2170">
        <v>578312</v>
      </c>
      <c r="C2170">
        <v>5920894</v>
      </c>
      <c r="D2170">
        <v>21</v>
      </c>
      <c r="E2170" t="s">
        <v>15</v>
      </c>
      <c r="F2170" t="s">
        <v>5479</v>
      </c>
      <c r="G2170">
        <v>3</v>
      </c>
      <c r="H2170" t="s">
        <v>1994</v>
      </c>
      <c r="I2170" t="s">
        <v>304</v>
      </c>
      <c r="J2170" t="s">
        <v>138</v>
      </c>
      <c r="K2170" t="s">
        <v>20</v>
      </c>
      <c r="L2170" t="s">
        <v>5480</v>
      </c>
      <c r="M2170" s="3" t="str">
        <f>HYPERLINK("..\..\Imagery\ScannedPhotos\1985\GM85-591.3.jpg")</f>
        <v>..\..\Imagery\ScannedPhotos\1985\GM85-591.3.jpg</v>
      </c>
    </row>
    <row r="2171" spans="1:13" x14ac:dyDescent="0.25">
      <c r="A2171" t="s">
        <v>5478</v>
      </c>
      <c r="B2171">
        <v>578312</v>
      </c>
      <c r="C2171">
        <v>5920894</v>
      </c>
      <c r="D2171">
        <v>21</v>
      </c>
      <c r="E2171" t="s">
        <v>15</v>
      </c>
      <c r="F2171" t="s">
        <v>5481</v>
      </c>
      <c r="G2171">
        <v>3</v>
      </c>
      <c r="H2171" t="s">
        <v>1994</v>
      </c>
      <c r="I2171" t="s">
        <v>418</v>
      </c>
      <c r="J2171" t="s">
        <v>138</v>
      </c>
      <c r="K2171" t="s">
        <v>20</v>
      </c>
      <c r="L2171" t="s">
        <v>5480</v>
      </c>
      <c r="M2171" s="3" t="str">
        <f>HYPERLINK("..\..\Imagery\ScannedPhotos\1985\GM85-591.2.jpg")</f>
        <v>..\..\Imagery\ScannedPhotos\1985\GM85-591.2.jpg</v>
      </c>
    </row>
    <row r="2172" spans="1:13" x14ac:dyDescent="0.25">
      <c r="A2172" t="s">
        <v>5478</v>
      </c>
      <c r="B2172">
        <v>578312</v>
      </c>
      <c r="C2172">
        <v>5920894</v>
      </c>
      <c r="D2172">
        <v>21</v>
      </c>
      <c r="E2172" t="s">
        <v>15</v>
      </c>
      <c r="F2172" t="s">
        <v>5482</v>
      </c>
      <c r="G2172">
        <v>3</v>
      </c>
      <c r="H2172" t="s">
        <v>1994</v>
      </c>
      <c r="I2172" t="s">
        <v>222</v>
      </c>
      <c r="J2172" t="s">
        <v>138</v>
      </c>
      <c r="K2172" t="s">
        <v>20</v>
      </c>
      <c r="L2172" t="s">
        <v>5480</v>
      </c>
      <c r="M2172" s="3" t="str">
        <f>HYPERLINK("..\..\Imagery\ScannedPhotos\1985\GM85-591.1.jpg")</f>
        <v>..\..\Imagery\ScannedPhotos\1985\GM85-591.1.jpg</v>
      </c>
    </row>
    <row r="2173" spans="1:13" x14ac:dyDescent="0.25">
      <c r="A2173" t="s">
        <v>5358</v>
      </c>
      <c r="B2173">
        <v>578634</v>
      </c>
      <c r="C2173">
        <v>5920832</v>
      </c>
      <c r="D2173">
        <v>21</v>
      </c>
      <c r="E2173" t="s">
        <v>15</v>
      </c>
      <c r="F2173" t="s">
        <v>5483</v>
      </c>
      <c r="G2173">
        <v>7</v>
      </c>
      <c r="H2173" t="s">
        <v>1994</v>
      </c>
      <c r="I2173" t="s">
        <v>119</v>
      </c>
      <c r="J2173" t="s">
        <v>138</v>
      </c>
      <c r="K2173" t="s">
        <v>20</v>
      </c>
      <c r="L2173" t="s">
        <v>5484</v>
      </c>
      <c r="M2173" s="3" t="str">
        <f>HYPERLINK("..\..\Imagery\ScannedPhotos\1985\GM85-592.7.jpg")</f>
        <v>..\..\Imagery\ScannedPhotos\1985\GM85-592.7.jpg</v>
      </c>
    </row>
    <row r="2174" spans="1:13" x14ac:dyDescent="0.25">
      <c r="A2174" t="s">
        <v>5358</v>
      </c>
      <c r="B2174">
        <v>578634</v>
      </c>
      <c r="C2174">
        <v>5920832</v>
      </c>
      <c r="D2174">
        <v>21</v>
      </c>
      <c r="E2174" t="s">
        <v>15</v>
      </c>
      <c r="F2174" t="s">
        <v>5485</v>
      </c>
      <c r="G2174">
        <v>7</v>
      </c>
      <c r="H2174" t="s">
        <v>1994</v>
      </c>
      <c r="I2174" t="s">
        <v>114</v>
      </c>
      <c r="J2174" t="s">
        <v>138</v>
      </c>
      <c r="K2174" t="s">
        <v>20</v>
      </c>
      <c r="L2174" t="s">
        <v>5484</v>
      </c>
      <c r="M2174" s="3" t="str">
        <f>HYPERLINK("..\..\Imagery\ScannedPhotos\1985\GM85-592.6.jpg")</f>
        <v>..\..\Imagery\ScannedPhotos\1985\GM85-592.6.jpg</v>
      </c>
    </row>
    <row r="2175" spans="1:13" x14ac:dyDescent="0.25">
      <c r="A2175" t="s">
        <v>5358</v>
      </c>
      <c r="B2175">
        <v>578634</v>
      </c>
      <c r="C2175">
        <v>5920832</v>
      </c>
      <c r="D2175">
        <v>21</v>
      </c>
      <c r="E2175" t="s">
        <v>15</v>
      </c>
      <c r="F2175" t="s">
        <v>5486</v>
      </c>
      <c r="G2175">
        <v>7</v>
      </c>
      <c r="H2175" t="s">
        <v>1994</v>
      </c>
      <c r="I2175" t="s">
        <v>360</v>
      </c>
      <c r="J2175" t="s">
        <v>138</v>
      </c>
      <c r="K2175" t="s">
        <v>20</v>
      </c>
      <c r="L2175" t="s">
        <v>5360</v>
      </c>
      <c r="M2175" s="3" t="str">
        <f>HYPERLINK("..\..\Imagery\ScannedPhotos\1985\GM85-592.3.jpg")</f>
        <v>..\..\Imagery\ScannedPhotos\1985\GM85-592.3.jpg</v>
      </c>
    </row>
    <row r="2176" spans="1:13" x14ac:dyDescent="0.25">
      <c r="A2176" t="s">
        <v>4276</v>
      </c>
      <c r="B2176">
        <v>503730</v>
      </c>
      <c r="C2176">
        <v>6034229</v>
      </c>
      <c r="D2176">
        <v>21</v>
      </c>
      <c r="E2176" t="s">
        <v>15</v>
      </c>
      <c r="F2176" t="s">
        <v>5487</v>
      </c>
      <c r="G2176">
        <v>5</v>
      </c>
      <c r="H2176" t="s">
        <v>835</v>
      </c>
      <c r="I2176" t="s">
        <v>418</v>
      </c>
      <c r="J2176" t="s">
        <v>423</v>
      </c>
      <c r="K2176" t="s">
        <v>20</v>
      </c>
      <c r="L2176" t="s">
        <v>5488</v>
      </c>
      <c r="M2176" s="3" t="str">
        <f>HYPERLINK("..\..\Imagery\ScannedPhotos\1979\CG79-347.4.jpg")</f>
        <v>..\..\Imagery\ScannedPhotos\1979\CG79-347.4.jpg</v>
      </c>
    </row>
    <row r="2177" spans="1:13" x14ac:dyDescent="0.25">
      <c r="A2177" t="s">
        <v>4276</v>
      </c>
      <c r="B2177">
        <v>503730</v>
      </c>
      <c r="C2177">
        <v>6034229</v>
      </c>
      <c r="D2177">
        <v>21</v>
      </c>
      <c r="E2177" t="s">
        <v>15</v>
      </c>
      <c r="F2177" t="s">
        <v>5489</v>
      </c>
      <c r="G2177">
        <v>5</v>
      </c>
      <c r="H2177" t="s">
        <v>835</v>
      </c>
      <c r="I2177" t="s">
        <v>222</v>
      </c>
      <c r="J2177" t="s">
        <v>423</v>
      </c>
      <c r="K2177" t="s">
        <v>56</v>
      </c>
      <c r="L2177" t="s">
        <v>5490</v>
      </c>
      <c r="M2177" s="3" t="str">
        <f>HYPERLINK("..\..\Imagery\ScannedPhotos\1979\CG79-347.3.jpg")</f>
        <v>..\..\Imagery\ScannedPhotos\1979\CG79-347.3.jpg</v>
      </c>
    </row>
    <row r="2178" spans="1:13" x14ac:dyDescent="0.25">
      <c r="A2178" t="s">
        <v>4276</v>
      </c>
      <c r="B2178">
        <v>503730</v>
      </c>
      <c r="C2178">
        <v>6034229</v>
      </c>
      <c r="D2178">
        <v>21</v>
      </c>
      <c r="E2178" t="s">
        <v>15</v>
      </c>
      <c r="F2178" t="s">
        <v>5491</v>
      </c>
      <c r="G2178">
        <v>5</v>
      </c>
      <c r="H2178" t="s">
        <v>835</v>
      </c>
      <c r="I2178" t="s">
        <v>217</v>
      </c>
      <c r="J2178" t="s">
        <v>423</v>
      </c>
      <c r="K2178" t="s">
        <v>20</v>
      </c>
      <c r="L2178" t="s">
        <v>5492</v>
      </c>
      <c r="M2178" s="3" t="str">
        <f>HYPERLINK("..\..\Imagery\ScannedPhotos\1979\CG79-347.1.jpg")</f>
        <v>..\..\Imagery\ScannedPhotos\1979\CG79-347.1.jpg</v>
      </c>
    </row>
    <row r="2179" spans="1:13" x14ac:dyDescent="0.25">
      <c r="A2179" t="s">
        <v>5493</v>
      </c>
      <c r="B2179">
        <v>494992</v>
      </c>
      <c r="C2179">
        <v>6029356</v>
      </c>
      <c r="D2179">
        <v>21</v>
      </c>
      <c r="E2179" t="s">
        <v>15</v>
      </c>
      <c r="F2179" t="s">
        <v>5494</v>
      </c>
      <c r="G2179">
        <v>1</v>
      </c>
      <c r="H2179" t="s">
        <v>835</v>
      </c>
      <c r="I2179" t="s">
        <v>25</v>
      </c>
      <c r="J2179" t="s">
        <v>423</v>
      </c>
      <c r="K2179" t="s">
        <v>20</v>
      </c>
      <c r="L2179" t="s">
        <v>5495</v>
      </c>
      <c r="M2179" s="3" t="str">
        <f>HYPERLINK("..\..\Imagery\ScannedPhotos\1979\CG79-349.jpg")</f>
        <v>..\..\Imagery\ScannedPhotos\1979\CG79-349.jpg</v>
      </c>
    </row>
    <row r="2180" spans="1:13" x14ac:dyDescent="0.25">
      <c r="A2180" t="s">
        <v>833</v>
      </c>
      <c r="B2180">
        <v>490651</v>
      </c>
      <c r="C2180">
        <v>6039283</v>
      </c>
      <c r="D2180">
        <v>21</v>
      </c>
      <c r="E2180" t="s">
        <v>15</v>
      </c>
      <c r="F2180" t="s">
        <v>5496</v>
      </c>
      <c r="G2180">
        <v>6</v>
      </c>
      <c r="H2180" t="s">
        <v>835</v>
      </c>
      <c r="I2180" t="s">
        <v>52</v>
      </c>
      <c r="J2180" t="s">
        <v>423</v>
      </c>
      <c r="K2180" t="s">
        <v>20</v>
      </c>
      <c r="L2180" t="s">
        <v>5497</v>
      </c>
      <c r="M2180" s="3" t="str">
        <f>HYPERLINK("..\..\Imagery\ScannedPhotos\1979\CG79-359.4.jpg")</f>
        <v>..\..\Imagery\ScannedPhotos\1979\CG79-359.4.jpg</v>
      </c>
    </row>
    <row r="2181" spans="1:13" x14ac:dyDescent="0.25">
      <c r="A2181" t="s">
        <v>4813</v>
      </c>
      <c r="B2181">
        <v>476186</v>
      </c>
      <c r="C2181">
        <v>5939795</v>
      </c>
      <c r="D2181">
        <v>21</v>
      </c>
      <c r="E2181" t="s">
        <v>15</v>
      </c>
      <c r="F2181" t="s">
        <v>5498</v>
      </c>
      <c r="G2181">
        <v>3</v>
      </c>
      <c r="H2181" t="s">
        <v>443</v>
      </c>
      <c r="I2181" t="s">
        <v>47</v>
      </c>
      <c r="J2181" t="s">
        <v>48</v>
      </c>
      <c r="K2181" t="s">
        <v>935</v>
      </c>
      <c r="L2181" t="s">
        <v>5499</v>
      </c>
      <c r="M2181" s="3" t="str">
        <f>HYPERLINK("..\..\Imagery\ScannedPhotos\1981\CG81-130.3.jpg")</f>
        <v>..\..\Imagery\ScannedPhotos\1981\CG81-130.3.jpg</v>
      </c>
    </row>
    <row r="2182" spans="1:13" x14ac:dyDescent="0.25">
      <c r="A2182" t="s">
        <v>5500</v>
      </c>
      <c r="B2182">
        <v>461942</v>
      </c>
      <c r="C2182">
        <v>6030351</v>
      </c>
      <c r="D2182">
        <v>21</v>
      </c>
      <c r="E2182" t="s">
        <v>15</v>
      </c>
      <c r="F2182" t="s">
        <v>5501</v>
      </c>
      <c r="G2182">
        <v>2</v>
      </c>
      <c r="H2182" t="s">
        <v>5502</v>
      </c>
      <c r="I2182" t="s">
        <v>143</v>
      </c>
      <c r="J2182" t="s">
        <v>691</v>
      </c>
      <c r="K2182" t="s">
        <v>20</v>
      </c>
      <c r="L2182" t="s">
        <v>5503</v>
      </c>
      <c r="M2182" s="3" t="str">
        <f>HYPERLINK("..\..\Imagery\ScannedPhotos\1979\CG79-762.1.jpg")</f>
        <v>..\..\Imagery\ScannedPhotos\1979\CG79-762.1.jpg</v>
      </c>
    </row>
    <row r="2183" spans="1:13" x14ac:dyDescent="0.25">
      <c r="A2183" t="s">
        <v>2526</v>
      </c>
      <c r="B2183">
        <v>392846</v>
      </c>
      <c r="C2183">
        <v>6071387</v>
      </c>
      <c r="D2183">
        <v>21</v>
      </c>
      <c r="E2183" t="s">
        <v>15</v>
      </c>
      <c r="F2183" t="s">
        <v>5504</v>
      </c>
      <c r="G2183">
        <v>5</v>
      </c>
      <c r="H2183" t="s">
        <v>1833</v>
      </c>
      <c r="I2183" t="s">
        <v>418</v>
      </c>
      <c r="J2183" t="s">
        <v>610</v>
      </c>
      <c r="K2183" t="s">
        <v>228</v>
      </c>
      <c r="L2183" t="s">
        <v>5505</v>
      </c>
      <c r="M2183" s="3" t="str">
        <f>HYPERLINK("..\..\Imagery\ScannedPhotos\1979\CG79-162.2.jpg")</f>
        <v>..\..\Imagery\ScannedPhotos\1979\CG79-162.2.jpg</v>
      </c>
    </row>
    <row r="2184" spans="1:13" x14ac:dyDescent="0.25">
      <c r="A2184" t="s">
        <v>2526</v>
      </c>
      <c r="B2184">
        <v>392846</v>
      </c>
      <c r="C2184">
        <v>6071387</v>
      </c>
      <c r="D2184">
        <v>21</v>
      </c>
      <c r="E2184" t="s">
        <v>15</v>
      </c>
      <c r="F2184" t="s">
        <v>5506</v>
      </c>
      <c r="G2184">
        <v>5</v>
      </c>
      <c r="H2184" t="s">
        <v>1833</v>
      </c>
      <c r="I2184" t="s">
        <v>304</v>
      </c>
      <c r="J2184" t="s">
        <v>610</v>
      </c>
      <c r="K2184" t="s">
        <v>228</v>
      </c>
      <c r="L2184" t="s">
        <v>5507</v>
      </c>
      <c r="M2184" s="3" t="str">
        <f>HYPERLINK("..\..\Imagery\ScannedPhotos\1979\CG79-162.3.jpg")</f>
        <v>..\..\Imagery\ScannedPhotos\1979\CG79-162.3.jpg</v>
      </c>
    </row>
    <row r="2185" spans="1:13" x14ac:dyDescent="0.25">
      <c r="A2185" t="s">
        <v>5508</v>
      </c>
      <c r="B2185">
        <v>469175</v>
      </c>
      <c r="C2185">
        <v>6005402</v>
      </c>
      <c r="D2185">
        <v>21</v>
      </c>
      <c r="E2185" t="s">
        <v>15</v>
      </c>
      <c r="F2185" t="s">
        <v>5509</v>
      </c>
      <c r="G2185">
        <v>2</v>
      </c>
      <c r="H2185" t="s">
        <v>1636</v>
      </c>
      <c r="I2185" t="s">
        <v>143</v>
      </c>
      <c r="J2185" t="s">
        <v>652</v>
      </c>
      <c r="K2185" t="s">
        <v>20</v>
      </c>
      <c r="L2185" t="s">
        <v>5510</v>
      </c>
      <c r="M2185" s="3" t="str">
        <f>HYPERLINK("..\..\Imagery\ScannedPhotos\1980\CG80-325.1.jpg")</f>
        <v>..\..\Imagery\ScannedPhotos\1980\CG80-325.1.jpg</v>
      </c>
    </row>
    <row r="2186" spans="1:13" x14ac:dyDescent="0.25">
      <c r="A2186" t="s">
        <v>5511</v>
      </c>
      <c r="B2186">
        <v>467818</v>
      </c>
      <c r="C2186">
        <v>6006680</v>
      </c>
      <c r="D2186">
        <v>21</v>
      </c>
      <c r="E2186" t="s">
        <v>15</v>
      </c>
      <c r="F2186" t="s">
        <v>5512</v>
      </c>
      <c r="G2186">
        <v>4</v>
      </c>
      <c r="H2186" t="s">
        <v>1518</v>
      </c>
      <c r="I2186" t="s">
        <v>114</v>
      </c>
      <c r="J2186" t="s">
        <v>48</v>
      </c>
      <c r="K2186" t="s">
        <v>20</v>
      </c>
      <c r="L2186" t="s">
        <v>5513</v>
      </c>
      <c r="M2186" s="3" t="str">
        <f>HYPERLINK("..\..\Imagery\ScannedPhotos\1980\CG80-328.1.jpg")</f>
        <v>..\..\Imagery\ScannedPhotos\1980\CG80-328.1.jpg</v>
      </c>
    </row>
    <row r="2187" spans="1:13" x14ac:dyDescent="0.25">
      <c r="A2187" t="s">
        <v>5511</v>
      </c>
      <c r="B2187">
        <v>467818</v>
      </c>
      <c r="C2187">
        <v>6006680</v>
      </c>
      <c r="D2187">
        <v>21</v>
      </c>
      <c r="E2187" t="s">
        <v>15</v>
      </c>
      <c r="F2187" t="s">
        <v>5514</v>
      </c>
      <c r="G2187">
        <v>4</v>
      </c>
      <c r="H2187" t="s">
        <v>1518</v>
      </c>
      <c r="I2187" t="s">
        <v>122</v>
      </c>
      <c r="J2187" t="s">
        <v>48</v>
      </c>
      <c r="K2187" t="s">
        <v>20</v>
      </c>
      <c r="L2187" t="s">
        <v>5515</v>
      </c>
      <c r="M2187" s="3" t="str">
        <f>HYPERLINK("..\..\Imagery\ScannedPhotos\1980\CG80-328.3.jpg")</f>
        <v>..\..\Imagery\ScannedPhotos\1980\CG80-328.3.jpg</v>
      </c>
    </row>
    <row r="2188" spans="1:13" x14ac:dyDescent="0.25">
      <c r="A2188" t="s">
        <v>5511</v>
      </c>
      <c r="B2188">
        <v>467818</v>
      </c>
      <c r="C2188">
        <v>6006680</v>
      </c>
      <c r="D2188">
        <v>21</v>
      </c>
      <c r="E2188" t="s">
        <v>15</v>
      </c>
      <c r="F2188" t="s">
        <v>5516</v>
      </c>
      <c r="G2188">
        <v>4</v>
      </c>
      <c r="H2188" t="s">
        <v>1518</v>
      </c>
      <c r="I2188" t="s">
        <v>126</v>
      </c>
      <c r="J2188" t="s">
        <v>48</v>
      </c>
      <c r="K2188" t="s">
        <v>56</v>
      </c>
      <c r="L2188" t="s">
        <v>5517</v>
      </c>
      <c r="M2188" s="3" t="str">
        <f>HYPERLINK("..\..\Imagery\ScannedPhotos\1980\CG80-328.4.jpg")</f>
        <v>..\..\Imagery\ScannedPhotos\1980\CG80-328.4.jpg</v>
      </c>
    </row>
    <row r="2189" spans="1:13" x14ac:dyDescent="0.25">
      <c r="A2189" t="s">
        <v>3160</v>
      </c>
      <c r="B2189">
        <v>561592</v>
      </c>
      <c r="C2189">
        <v>5848575</v>
      </c>
      <c r="D2189">
        <v>21</v>
      </c>
      <c r="E2189" t="s">
        <v>15</v>
      </c>
      <c r="F2189" t="s">
        <v>5518</v>
      </c>
      <c r="G2189">
        <v>4</v>
      </c>
      <c r="H2189" t="s">
        <v>3162</v>
      </c>
      <c r="I2189" t="s">
        <v>418</v>
      </c>
      <c r="J2189" t="s">
        <v>3163</v>
      </c>
      <c r="K2189" t="s">
        <v>20</v>
      </c>
      <c r="L2189" t="s">
        <v>5519</v>
      </c>
      <c r="M2189" s="3" t="str">
        <f>HYPERLINK("..\..\Imagery\ScannedPhotos\1986\SN86-345.1.jpg")</f>
        <v>..\..\Imagery\ScannedPhotos\1986\SN86-345.1.jpg</v>
      </c>
    </row>
    <row r="2190" spans="1:13" x14ac:dyDescent="0.25">
      <c r="A2190" t="s">
        <v>32</v>
      </c>
      <c r="B2190">
        <v>596446</v>
      </c>
      <c r="C2190">
        <v>5792950</v>
      </c>
      <c r="D2190">
        <v>21</v>
      </c>
      <c r="E2190" t="s">
        <v>15</v>
      </c>
      <c r="F2190" t="s">
        <v>5520</v>
      </c>
      <c r="G2190">
        <v>40</v>
      </c>
      <c r="H2190" t="s">
        <v>813</v>
      </c>
      <c r="I2190" t="s">
        <v>47</v>
      </c>
      <c r="J2190" t="s">
        <v>814</v>
      </c>
      <c r="K2190" t="s">
        <v>56</v>
      </c>
      <c r="L2190" t="s">
        <v>2669</v>
      </c>
      <c r="M2190" s="3" t="str">
        <f>HYPERLINK("..\..\Imagery\ScannedPhotos\1987\CG87-488.8.jpg")</f>
        <v>..\..\Imagery\ScannedPhotos\1987\CG87-488.8.jpg</v>
      </c>
    </row>
    <row r="2191" spans="1:13" x14ac:dyDescent="0.25">
      <c r="A2191" t="s">
        <v>5521</v>
      </c>
      <c r="B2191">
        <v>574745</v>
      </c>
      <c r="C2191">
        <v>5930004</v>
      </c>
      <c r="D2191">
        <v>21</v>
      </c>
      <c r="E2191" t="s">
        <v>15</v>
      </c>
      <c r="F2191" t="s">
        <v>5522</v>
      </c>
      <c r="G2191">
        <v>1</v>
      </c>
      <c r="H2191" t="s">
        <v>1604</v>
      </c>
      <c r="I2191" t="s">
        <v>119</v>
      </c>
      <c r="J2191" t="s">
        <v>1605</v>
      </c>
      <c r="K2191" t="s">
        <v>20</v>
      </c>
      <c r="L2191" t="s">
        <v>5523</v>
      </c>
      <c r="M2191" s="3" t="str">
        <f>HYPERLINK("..\..\Imagery\ScannedPhotos\1985\CG85-419.jpg")</f>
        <v>..\..\Imagery\ScannedPhotos\1985\CG85-419.jpg</v>
      </c>
    </row>
    <row r="2192" spans="1:13" x14ac:dyDescent="0.25">
      <c r="A2192" t="s">
        <v>5524</v>
      </c>
      <c r="B2192">
        <v>573159</v>
      </c>
      <c r="C2192">
        <v>5931748</v>
      </c>
      <c r="D2192">
        <v>21</v>
      </c>
      <c r="E2192" t="s">
        <v>15</v>
      </c>
      <c r="F2192" t="s">
        <v>5525</v>
      </c>
      <c r="G2192">
        <v>1</v>
      </c>
      <c r="H2192" t="s">
        <v>1604</v>
      </c>
      <c r="I2192" t="s">
        <v>122</v>
      </c>
      <c r="J2192" t="s">
        <v>1605</v>
      </c>
      <c r="K2192" t="s">
        <v>20</v>
      </c>
      <c r="L2192" t="s">
        <v>5526</v>
      </c>
      <c r="M2192" s="3" t="str">
        <f>HYPERLINK("..\..\Imagery\ScannedPhotos\1985\CG85-420.jpg")</f>
        <v>..\..\Imagery\ScannedPhotos\1985\CG85-420.jpg</v>
      </c>
    </row>
    <row r="2193" spans="1:13" x14ac:dyDescent="0.25">
      <c r="A2193" t="s">
        <v>5527</v>
      </c>
      <c r="B2193">
        <v>573500</v>
      </c>
      <c r="C2193">
        <v>5932059</v>
      </c>
      <c r="D2193">
        <v>21</v>
      </c>
      <c r="E2193" t="s">
        <v>15</v>
      </c>
      <c r="F2193" t="s">
        <v>5528</v>
      </c>
      <c r="G2193">
        <v>3</v>
      </c>
      <c r="H2193" t="s">
        <v>1604</v>
      </c>
      <c r="I2193" t="s">
        <v>132</v>
      </c>
      <c r="J2193" t="s">
        <v>1605</v>
      </c>
      <c r="K2193" t="s">
        <v>20</v>
      </c>
      <c r="L2193" t="s">
        <v>5529</v>
      </c>
      <c r="M2193" s="3" t="str">
        <f>HYPERLINK("..\..\Imagery\ScannedPhotos\1985\CG85-421.3.jpg")</f>
        <v>..\..\Imagery\ScannedPhotos\1985\CG85-421.3.jpg</v>
      </c>
    </row>
    <row r="2194" spans="1:13" x14ac:dyDescent="0.25">
      <c r="A2194" t="s">
        <v>5527</v>
      </c>
      <c r="B2194">
        <v>573500</v>
      </c>
      <c r="C2194">
        <v>5932059</v>
      </c>
      <c r="D2194">
        <v>21</v>
      </c>
      <c r="E2194" t="s">
        <v>15</v>
      </c>
      <c r="F2194" t="s">
        <v>5530</v>
      </c>
      <c r="G2194">
        <v>3</v>
      </c>
      <c r="H2194" t="s">
        <v>1604</v>
      </c>
      <c r="I2194" t="s">
        <v>108</v>
      </c>
      <c r="J2194" t="s">
        <v>1605</v>
      </c>
      <c r="K2194" t="s">
        <v>20</v>
      </c>
      <c r="L2194" t="s">
        <v>5531</v>
      </c>
      <c r="M2194" s="3" t="str">
        <f>HYPERLINK("..\..\Imagery\ScannedPhotos\1985\CG85-421.2.jpg")</f>
        <v>..\..\Imagery\ScannedPhotos\1985\CG85-421.2.jpg</v>
      </c>
    </row>
    <row r="2195" spans="1:13" x14ac:dyDescent="0.25">
      <c r="A2195" t="s">
        <v>5527</v>
      </c>
      <c r="B2195">
        <v>573500</v>
      </c>
      <c r="C2195">
        <v>5932059</v>
      </c>
      <c r="D2195">
        <v>21</v>
      </c>
      <c r="E2195" t="s">
        <v>15</v>
      </c>
      <c r="F2195" t="s">
        <v>5532</v>
      </c>
      <c r="G2195">
        <v>3</v>
      </c>
      <c r="H2195" t="s">
        <v>1604</v>
      </c>
      <c r="I2195" t="s">
        <v>126</v>
      </c>
      <c r="J2195" t="s">
        <v>1605</v>
      </c>
      <c r="K2195" t="s">
        <v>20</v>
      </c>
      <c r="L2195" t="s">
        <v>5533</v>
      </c>
      <c r="M2195" s="3" t="str">
        <f>HYPERLINK("..\..\Imagery\ScannedPhotos\1985\CG85-421.1.jpg")</f>
        <v>..\..\Imagery\ScannedPhotos\1985\CG85-421.1.jpg</v>
      </c>
    </row>
    <row r="2196" spans="1:13" x14ac:dyDescent="0.25">
      <c r="A2196" t="s">
        <v>5534</v>
      </c>
      <c r="B2196">
        <v>574039</v>
      </c>
      <c r="C2196">
        <v>5929340</v>
      </c>
      <c r="D2196">
        <v>21</v>
      </c>
      <c r="E2196" t="s">
        <v>15</v>
      </c>
      <c r="F2196" t="s">
        <v>5535</v>
      </c>
      <c r="G2196">
        <v>1</v>
      </c>
      <c r="H2196" t="s">
        <v>1604</v>
      </c>
      <c r="I2196" t="s">
        <v>129</v>
      </c>
      <c r="J2196" t="s">
        <v>1605</v>
      </c>
      <c r="K2196" t="s">
        <v>20</v>
      </c>
      <c r="L2196" t="s">
        <v>5536</v>
      </c>
      <c r="M2196" s="3" t="str">
        <f>HYPERLINK("..\..\Imagery\ScannedPhotos\1985\CG85-423.jpg")</f>
        <v>..\..\Imagery\ScannedPhotos\1985\CG85-423.jpg</v>
      </c>
    </row>
    <row r="2197" spans="1:13" x14ac:dyDescent="0.25">
      <c r="A2197" t="s">
        <v>5537</v>
      </c>
      <c r="B2197">
        <v>576030</v>
      </c>
      <c r="C2197">
        <v>5928377</v>
      </c>
      <c r="D2197">
        <v>21</v>
      </c>
      <c r="E2197" t="s">
        <v>15</v>
      </c>
      <c r="F2197" t="s">
        <v>5538</v>
      </c>
      <c r="G2197">
        <v>1</v>
      </c>
      <c r="H2197" t="s">
        <v>1604</v>
      </c>
      <c r="I2197" t="s">
        <v>143</v>
      </c>
      <c r="J2197" t="s">
        <v>1605</v>
      </c>
      <c r="K2197" t="s">
        <v>20</v>
      </c>
      <c r="L2197" t="s">
        <v>5539</v>
      </c>
      <c r="M2197" s="3" t="str">
        <f>HYPERLINK("..\..\Imagery\ScannedPhotos\1985\CG85-424.jpg")</f>
        <v>..\..\Imagery\ScannedPhotos\1985\CG85-424.jpg</v>
      </c>
    </row>
    <row r="2198" spans="1:13" x14ac:dyDescent="0.25">
      <c r="A2198" t="s">
        <v>2168</v>
      </c>
      <c r="B2198">
        <v>520458</v>
      </c>
      <c r="C2198">
        <v>5716048</v>
      </c>
      <c r="D2198">
        <v>21</v>
      </c>
      <c r="E2198" t="s">
        <v>15</v>
      </c>
      <c r="F2198" t="s">
        <v>5540</v>
      </c>
      <c r="G2198">
        <v>2</v>
      </c>
      <c r="H2198" t="s">
        <v>569</v>
      </c>
      <c r="I2198" t="s">
        <v>119</v>
      </c>
      <c r="J2198" t="s">
        <v>570</v>
      </c>
      <c r="K2198" t="s">
        <v>20</v>
      </c>
      <c r="L2198" t="s">
        <v>5541</v>
      </c>
      <c r="M2198" s="3" t="str">
        <f>HYPERLINK("..\..\Imagery\ScannedPhotos\1993\CG93-249.2.jpg")</f>
        <v>..\..\Imagery\ScannedPhotos\1993\CG93-249.2.jpg</v>
      </c>
    </row>
    <row r="2199" spans="1:13" x14ac:dyDescent="0.25">
      <c r="A2199" t="s">
        <v>5542</v>
      </c>
      <c r="B2199">
        <v>520399</v>
      </c>
      <c r="C2199">
        <v>5715932</v>
      </c>
      <c r="D2199">
        <v>21</v>
      </c>
      <c r="E2199" t="s">
        <v>15</v>
      </c>
      <c r="F2199" t="s">
        <v>5543</v>
      </c>
      <c r="G2199">
        <v>3</v>
      </c>
      <c r="H2199" t="s">
        <v>569</v>
      </c>
      <c r="I2199" t="s">
        <v>108</v>
      </c>
      <c r="J2199" t="s">
        <v>570</v>
      </c>
      <c r="K2199" t="s">
        <v>20</v>
      </c>
      <c r="L2199" t="s">
        <v>5544</v>
      </c>
      <c r="M2199" s="3" t="str">
        <f>HYPERLINK("..\..\Imagery\ScannedPhotos\1993\CG93-250.3.jpg")</f>
        <v>..\..\Imagery\ScannedPhotos\1993\CG93-250.3.jpg</v>
      </c>
    </row>
    <row r="2200" spans="1:13" x14ac:dyDescent="0.25">
      <c r="A2200" t="s">
        <v>5511</v>
      </c>
      <c r="B2200">
        <v>467818</v>
      </c>
      <c r="C2200">
        <v>6006680</v>
      </c>
      <c r="D2200">
        <v>21</v>
      </c>
      <c r="E2200" t="s">
        <v>15</v>
      </c>
      <c r="F2200" t="s">
        <v>5545</v>
      </c>
      <c r="G2200">
        <v>4</v>
      </c>
      <c r="H2200" t="s">
        <v>1518</v>
      </c>
      <c r="I2200" t="s">
        <v>119</v>
      </c>
      <c r="J2200" t="s">
        <v>48</v>
      </c>
      <c r="K2200" t="s">
        <v>20</v>
      </c>
      <c r="L2200" t="s">
        <v>5546</v>
      </c>
      <c r="M2200" s="3" t="str">
        <f>HYPERLINK("..\..\Imagery\ScannedPhotos\1980\CG80-328.2.jpg")</f>
        <v>..\..\Imagery\ScannedPhotos\1980\CG80-328.2.jpg</v>
      </c>
    </row>
    <row r="2201" spans="1:13" x14ac:dyDescent="0.25">
      <c r="A2201" t="s">
        <v>5547</v>
      </c>
      <c r="B2201">
        <v>465301</v>
      </c>
      <c r="C2201">
        <v>6006743</v>
      </c>
      <c r="D2201">
        <v>21</v>
      </c>
      <c r="E2201" t="s">
        <v>15</v>
      </c>
      <c r="F2201" t="s">
        <v>5548</v>
      </c>
      <c r="G2201">
        <v>2</v>
      </c>
      <c r="H2201" t="s">
        <v>1636</v>
      </c>
      <c r="I2201" t="s">
        <v>52</v>
      </c>
      <c r="J2201" t="s">
        <v>652</v>
      </c>
      <c r="K2201" t="s">
        <v>20</v>
      </c>
      <c r="L2201" t="s">
        <v>5549</v>
      </c>
      <c r="M2201" s="3" t="str">
        <f>HYPERLINK("..\..\Imagery\ScannedPhotos\1980\CG80-331.1.jpg")</f>
        <v>..\..\Imagery\ScannedPhotos\1980\CG80-331.1.jpg</v>
      </c>
    </row>
    <row r="2202" spans="1:13" x14ac:dyDescent="0.25">
      <c r="A2202" t="s">
        <v>5547</v>
      </c>
      <c r="B2202">
        <v>465301</v>
      </c>
      <c r="C2202">
        <v>6006743</v>
      </c>
      <c r="D2202">
        <v>21</v>
      </c>
      <c r="E2202" t="s">
        <v>15</v>
      </c>
      <c r="F2202" t="s">
        <v>5550</v>
      </c>
      <c r="G2202">
        <v>2</v>
      </c>
      <c r="H2202" t="s">
        <v>1636</v>
      </c>
      <c r="I2202" t="s">
        <v>65</v>
      </c>
      <c r="J2202" t="s">
        <v>652</v>
      </c>
      <c r="K2202" t="s">
        <v>20</v>
      </c>
      <c r="L2202" t="s">
        <v>5549</v>
      </c>
      <c r="M2202" s="3" t="str">
        <f>HYPERLINK("..\..\Imagery\ScannedPhotos\1980\CG80-331.2.jpg")</f>
        <v>..\..\Imagery\ScannedPhotos\1980\CG80-331.2.jpg</v>
      </c>
    </row>
    <row r="2203" spans="1:13" x14ac:dyDescent="0.25">
      <c r="A2203" t="s">
        <v>5551</v>
      </c>
      <c r="B2203">
        <v>463935</v>
      </c>
      <c r="C2203">
        <v>6006627</v>
      </c>
      <c r="D2203">
        <v>21</v>
      </c>
      <c r="E2203" t="s">
        <v>15</v>
      </c>
      <c r="F2203" t="s">
        <v>5552</v>
      </c>
      <c r="G2203">
        <v>1</v>
      </c>
      <c r="H2203" t="s">
        <v>1636</v>
      </c>
      <c r="I2203" t="s">
        <v>401</v>
      </c>
      <c r="J2203" t="s">
        <v>652</v>
      </c>
      <c r="K2203" t="s">
        <v>20</v>
      </c>
      <c r="L2203" t="s">
        <v>5553</v>
      </c>
      <c r="M2203" s="3" t="str">
        <f>HYPERLINK("..\..\Imagery\ScannedPhotos\1980\CG80-333.jpg")</f>
        <v>..\..\Imagery\ScannedPhotos\1980\CG80-333.jpg</v>
      </c>
    </row>
    <row r="2204" spans="1:13" x14ac:dyDescent="0.25">
      <c r="A2204" t="s">
        <v>5554</v>
      </c>
      <c r="B2204">
        <v>464276</v>
      </c>
      <c r="C2204">
        <v>6007679</v>
      </c>
      <c r="D2204">
        <v>21</v>
      </c>
      <c r="E2204" t="s">
        <v>15</v>
      </c>
      <c r="F2204" t="s">
        <v>5555</v>
      </c>
      <c r="G2204">
        <v>1</v>
      </c>
      <c r="H2204" t="s">
        <v>1636</v>
      </c>
      <c r="I2204" t="s">
        <v>409</v>
      </c>
      <c r="J2204" t="s">
        <v>652</v>
      </c>
      <c r="K2204" t="s">
        <v>228</v>
      </c>
      <c r="L2204" t="s">
        <v>5556</v>
      </c>
      <c r="M2204" s="3" t="str">
        <f>HYPERLINK("..\..\Imagery\ScannedPhotos\1980\CG80-334.jpg")</f>
        <v>..\..\Imagery\ScannedPhotos\1980\CG80-334.jpg</v>
      </c>
    </row>
    <row r="2205" spans="1:13" x14ac:dyDescent="0.25">
      <c r="A2205" t="s">
        <v>5557</v>
      </c>
      <c r="B2205">
        <v>462685</v>
      </c>
      <c r="C2205">
        <v>6008078</v>
      </c>
      <c r="D2205">
        <v>21</v>
      </c>
      <c r="E2205" t="s">
        <v>15</v>
      </c>
      <c r="F2205" t="s">
        <v>5558</v>
      </c>
      <c r="G2205">
        <v>1</v>
      </c>
      <c r="H2205" t="s">
        <v>1326</v>
      </c>
      <c r="I2205" t="s">
        <v>79</v>
      </c>
      <c r="J2205" t="s">
        <v>95</v>
      </c>
      <c r="K2205" t="s">
        <v>20</v>
      </c>
      <c r="L2205" t="s">
        <v>5559</v>
      </c>
      <c r="M2205" s="3" t="str">
        <f>HYPERLINK("..\..\Imagery\ScannedPhotos\1980\CG80-336.jpg")</f>
        <v>..\..\Imagery\ScannedPhotos\1980\CG80-336.jpg</v>
      </c>
    </row>
    <row r="2206" spans="1:13" x14ac:dyDescent="0.25">
      <c r="A2206" t="s">
        <v>5560</v>
      </c>
      <c r="B2206">
        <v>409590</v>
      </c>
      <c r="C2206">
        <v>6010757</v>
      </c>
      <c r="D2206">
        <v>21</v>
      </c>
      <c r="E2206" t="s">
        <v>15</v>
      </c>
      <c r="F2206" t="s">
        <v>5561</v>
      </c>
      <c r="G2206">
        <v>2</v>
      </c>
      <c r="H2206" t="s">
        <v>2319</v>
      </c>
      <c r="I2206" t="s">
        <v>126</v>
      </c>
      <c r="J2206" t="s">
        <v>759</v>
      </c>
      <c r="K2206" t="s">
        <v>20</v>
      </c>
      <c r="L2206" t="s">
        <v>5562</v>
      </c>
      <c r="M2206" s="3" t="str">
        <f>HYPERLINK("..\..\Imagery\ScannedPhotos\1980\CG80-023.1.jpg")</f>
        <v>..\..\Imagery\ScannedPhotos\1980\CG80-023.1.jpg</v>
      </c>
    </row>
    <row r="2207" spans="1:13" x14ac:dyDescent="0.25">
      <c r="A2207" t="s">
        <v>5563</v>
      </c>
      <c r="B2207">
        <v>409199</v>
      </c>
      <c r="C2207">
        <v>6010611</v>
      </c>
      <c r="D2207">
        <v>21</v>
      </c>
      <c r="E2207" t="s">
        <v>15</v>
      </c>
      <c r="F2207" t="s">
        <v>5564</v>
      </c>
      <c r="G2207">
        <v>1</v>
      </c>
      <c r="H2207" t="s">
        <v>2319</v>
      </c>
      <c r="I2207" t="s">
        <v>132</v>
      </c>
      <c r="J2207" t="s">
        <v>759</v>
      </c>
      <c r="K2207" t="s">
        <v>20</v>
      </c>
      <c r="L2207" t="s">
        <v>5565</v>
      </c>
      <c r="M2207" s="3" t="str">
        <f>HYPERLINK("..\..\Imagery\ScannedPhotos\1980\CG80-024.jpg")</f>
        <v>..\..\Imagery\ScannedPhotos\1980\CG80-024.jpg</v>
      </c>
    </row>
    <row r="2208" spans="1:13" x14ac:dyDescent="0.25">
      <c r="A2208" t="s">
        <v>5566</v>
      </c>
      <c r="B2208">
        <v>408520</v>
      </c>
      <c r="C2208">
        <v>6010434</v>
      </c>
      <c r="D2208">
        <v>21</v>
      </c>
      <c r="E2208" t="s">
        <v>15</v>
      </c>
      <c r="F2208" t="s">
        <v>5567</v>
      </c>
      <c r="G2208">
        <v>2</v>
      </c>
      <c r="H2208" t="s">
        <v>2319</v>
      </c>
      <c r="I2208" t="s">
        <v>143</v>
      </c>
      <c r="J2208" t="s">
        <v>759</v>
      </c>
      <c r="K2208" t="s">
        <v>20</v>
      </c>
      <c r="L2208" t="s">
        <v>5568</v>
      </c>
      <c r="M2208" s="3" t="str">
        <f>HYPERLINK("..\..\Imagery\ScannedPhotos\1980\CG80-028.2.jpg")</f>
        <v>..\..\Imagery\ScannedPhotos\1980\CG80-028.2.jpg</v>
      </c>
    </row>
    <row r="2209" spans="1:13" x14ac:dyDescent="0.25">
      <c r="A2209" t="s">
        <v>5569</v>
      </c>
      <c r="B2209">
        <v>438839</v>
      </c>
      <c r="C2209">
        <v>5853799</v>
      </c>
      <c r="D2209">
        <v>21</v>
      </c>
      <c r="E2209" t="s">
        <v>15</v>
      </c>
      <c r="F2209" t="s">
        <v>5570</v>
      </c>
      <c r="G2209">
        <v>3</v>
      </c>
      <c r="H2209" t="s">
        <v>2521</v>
      </c>
      <c r="I2209" t="s">
        <v>195</v>
      </c>
      <c r="J2209" t="s">
        <v>2522</v>
      </c>
      <c r="K2209" t="s">
        <v>20</v>
      </c>
      <c r="L2209" t="s">
        <v>5571</v>
      </c>
      <c r="M2209" s="3" t="str">
        <f>HYPERLINK("..\..\Imagery\ScannedPhotos\1991\VN91-411.1.jpg")</f>
        <v>..\..\Imagery\ScannedPhotos\1991\VN91-411.1.jpg</v>
      </c>
    </row>
    <row r="2210" spans="1:13" x14ac:dyDescent="0.25">
      <c r="A2210" t="s">
        <v>4582</v>
      </c>
      <c r="B2210">
        <v>435203</v>
      </c>
      <c r="C2210">
        <v>5870212</v>
      </c>
      <c r="D2210">
        <v>21</v>
      </c>
      <c r="E2210" t="s">
        <v>15</v>
      </c>
      <c r="F2210" t="s">
        <v>5572</v>
      </c>
      <c r="G2210">
        <v>3</v>
      </c>
      <c r="H2210" t="s">
        <v>2521</v>
      </c>
      <c r="I2210" t="s">
        <v>647</v>
      </c>
      <c r="J2210" t="s">
        <v>2522</v>
      </c>
      <c r="K2210" t="s">
        <v>20</v>
      </c>
      <c r="L2210" t="s">
        <v>5573</v>
      </c>
      <c r="M2210" s="3" t="str">
        <f>HYPERLINK("..\..\Imagery\ScannedPhotos\1991\VN91-416.1.jpg")</f>
        <v>..\..\Imagery\ScannedPhotos\1991\VN91-416.1.jpg</v>
      </c>
    </row>
    <row r="2211" spans="1:13" x14ac:dyDescent="0.25">
      <c r="A2211" t="s">
        <v>5574</v>
      </c>
      <c r="B2211">
        <v>432232</v>
      </c>
      <c r="C2211">
        <v>6083480</v>
      </c>
      <c r="D2211">
        <v>21</v>
      </c>
      <c r="E2211" t="s">
        <v>15</v>
      </c>
      <c r="F2211" t="s">
        <v>5575</v>
      </c>
      <c r="G2211">
        <v>1</v>
      </c>
      <c r="H2211" t="s">
        <v>1833</v>
      </c>
      <c r="I2211" t="s">
        <v>18</v>
      </c>
      <c r="J2211" t="s">
        <v>610</v>
      </c>
      <c r="K2211" t="s">
        <v>20</v>
      </c>
      <c r="L2211" t="s">
        <v>5576</v>
      </c>
      <c r="M2211" s="3" t="str">
        <f>HYPERLINK("..\..\Imagery\ScannedPhotos\1979\CG79-141.jpg")</f>
        <v>..\..\Imagery\ScannedPhotos\1979\CG79-141.jpg</v>
      </c>
    </row>
    <row r="2212" spans="1:13" x14ac:dyDescent="0.25">
      <c r="A2212" t="s">
        <v>5577</v>
      </c>
      <c r="B2212">
        <v>432961</v>
      </c>
      <c r="C2212">
        <v>6083712</v>
      </c>
      <c r="D2212">
        <v>21</v>
      </c>
      <c r="E2212" t="s">
        <v>15</v>
      </c>
      <c r="F2212" t="s">
        <v>5578</v>
      </c>
      <c r="G2212">
        <v>1</v>
      </c>
      <c r="H2212" t="s">
        <v>1833</v>
      </c>
      <c r="I2212" t="s">
        <v>35</v>
      </c>
      <c r="J2212" t="s">
        <v>610</v>
      </c>
      <c r="K2212" t="s">
        <v>20</v>
      </c>
      <c r="L2212" t="s">
        <v>5579</v>
      </c>
      <c r="M2212" s="3" t="str">
        <f>HYPERLINK("..\..\Imagery\ScannedPhotos\1979\CG79-142.jpg")</f>
        <v>..\..\Imagery\ScannedPhotos\1979\CG79-142.jpg</v>
      </c>
    </row>
    <row r="2213" spans="1:13" x14ac:dyDescent="0.25">
      <c r="A2213" t="s">
        <v>5580</v>
      </c>
      <c r="B2213">
        <v>433580</v>
      </c>
      <c r="C2213">
        <v>6084146</v>
      </c>
      <c r="D2213">
        <v>21</v>
      </c>
      <c r="E2213" t="s">
        <v>15</v>
      </c>
      <c r="F2213" t="s">
        <v>5581</v>
      </c>
      <c r="G2213">
        <v>1</v>
      </c>
      <c r="H2213" t="s">
        <v>1833</v>
      </c>
      <c r="I2213" t="s">
        <v>69</v>
      </c>
      <c r="J2213" t="s">
        <v>610</v>
      </c>
      <c r="K2213" t="s">
        <v>20</v>
      </c>
      <c r="L2213" t="s">
        <v>3364</v>
      </c>
      <c r="M2213" s="3" t="str">
        <f>HYPERLINK("..\..\Imagery\ScannedPhotos\1979\CG79-143.jpg")</f>
        <v>..\..\Imagery\ScannedPhotos\1979\CG79-143.jpg</v>
      </c>
    </row>
    <row r="2214" spans="1:13" x14ac:dyDescent="0.25">
      <c r="A2214" t="s">
        <v>5582</v>
      </c>
      <c r="B2214">
        <v>434289</v>
      </c>
      <c r="C2214">
        <v>6084832</v>
      </c>
      <c r="D2214">
        <v>21</v>
      </c>
      <c r="E2214" t="s">
        <v>15</v>
      </c>
      <c r="F2214" t="s">
        <v>5583</v>
      </c>
      <c r="G2214">
        <v>1</v>
      </c>
      <c r="H2214" t="s">
        <v>1833</v>
      </c>
      <c r="I2214" t="s">
        <v>74</v>
      </c>
      <c r="J2214" t="s">
        <v>610</v>
      </c>
      <c r="K2214" t="s">
        <v>20</v>
      </c>
      <c r="L2214" t="s">
        <v>5584</v>
      </c>
      <c r="M2214" s="3" t="str">
        <f>HYPERLINK("..\..\Imagery\ScannedPhotos\1979\CG79-144.jpg")</f>
        <v>..\..\Imagery\ScannedPhotos\1979\CG79-144.jpg</v>
      </c>
    </row>
    <row r="2215" spans="1:13" x14ac:dyDescent="0.25">
      <c r="A2215" t="s">
        <v>5585</v>
      </c>
      <c r="B2215">
        <v>473934</v>
      </c>
      <c r="C2215">
        <v>5804927</v>
      </c>
      <c r="D2215">
        <v>21</v>
      </c>
      <c r="E2215" t="s">
        <v>15</v>
      </c>
      <c r="F2215" t="s">
        <v>5586</v>
      </c>
      <c r="G2215">
        <v>2</v>
      </c>
      <c r="H2215" t="s">
        <v>5587</v>
      </c>
      <c r="I2215" t="s">
        <v>18</v>
      </c>
      <c r="J2215" t="s">
        <v>2341</v>
      </c>
      <c r="K2215" t="s">
        <v>56</v>
      </c>
      <c r="L2215" t="s">
        <v>5588</v>
      </c>
      <c r="M2215" s="3" t="str">
        <f>HYPERLINK("..\..\Imagery\ScannedPhotos\1992\VN92-101.1.jpg")</f>
        <v>..\..\Imagery\ScannedPhotos\1992\VN92-101.1.jpg</v>
      </c>
    </row>
    <row r="2216" spans="1:13" x14ac:dyDescent="0.25">
      <c r="A2216" t="s">
        <v>5589</v>
      </c>
      <c r="B2216">
        <v>435513</v>
      </c>
      <c r="C2216">
        <v>6084783</v>
      </c>
      <c r="D2216">
        <v>21</v>
      </c>
      <c r="E2216" t="s">
        <v>15</v>
      </c>
      <c r="F2216" t="s">
        <v>5590</v>
      </c>
      <c r="G2216">
        <v>2</v>
      </c>
      <c r="H2216" t="s">
        <v>1833</v>
      </c>
      <c r="I2216" t="s">
        <v>41</v>
      </c>
      <c r="J2216" t="s">
        <v>610</v>
      </c>
      <c r="K2216" t="s">
        <v>20</v>
      </c>
      <c r="L2216" t="s">
        <v>5591</v>
      </c>
      <c r="M2216" s="3" t="str">
        <f>HYPERLINK("..\..\Imagery\ScannedPhotos\1979\CG79-145.1.jpg")</f>
        <v>..\..\Imagery\ScannedPhotos\1979\CG79-145.1.jpg</v>
      </c>
    </row>
    <row r="2217" spans="1:13" x14ac:dyDescent="0.25">
      <c r="A2217" t="s">
        <v>5589</v>
      </c>
      <c r="B2217">
        <v>435513</v>
      </c>
      <c r="C2217">
        <v>6084783</v>
      </c>
      <c r="D2217">
        <v>21</v>
      </c>
      <c r="E2217" t="s">
        <v>15</v>
      </c>
      <c r="F2217" t="s">
        <v>5592</v>
      </c>
      <c r="G2217">
        <v>2</v>
      </c>
      <c r="H2217" t="s">
        <v>1833</v>
      </c>
      <c r="I2217" t="s">
        <v>85</v>
      </c>
      <c r="J2217" t="s">
        <v>610</v>
      </c>
      <c r="K2217" t="s">
        <v>20</v>
      </c>
      <c r="L2217" t="s">
        <v>5593</v>
      </c>
      <c r="M2217" s="3" t="str">
        <f>HYPERLINK("..\..\Imagery\ScannedPhotos\1979\CG79-145.2.jpg")</f>
        <v>..\..\Imagery\ScannedPhotos\1979\CG79-145.2.jpg</v>
      </c>
    </row>
    <row r="2218" spans="1:13" x14ac:dyDescent="0.25">
      <c r="A2218" t="s">
        <v>5594</v>
      </c>
      <c r="B2218">
        <v>582535</v>
      </c>
      <c r="C2218">
        <v>5899940</v>
      </c>
      <c r="D2218">
        <v>21</v>
      </c>
      <c r="E2218" t="s">
        <v>15</v>
      </c>
      <c r="F2218" t="s">
        <v>5595</v>
      </c>
      <c r="G2218">
        <v>3</v>
      </c>
      <c r="H2218" t="s">
        <v>136</v>
      </c>
      <c r="I2218" t="s">
        <v>294</v>
      </c>
      <c r="J2218" t="s">
        <v>138</v>
      </c>
      <c r="K2218" t="s">
        <v>20</v>
      </c>
      <c r="L2218" t="s">
        <v>5596</v>
      </c>
      <c r="M2218" s="3" t="str">
        <f>HYPERLINK("..\..\Imagery\ScannedPhotos\1985\GM85-534.1.jpg")</f>
        <v>..\..\Imagery\ScannedPhotos\1985\GM85-534.1.jpg</v>
      </c>
    </row>
    <row r="2219" spans="1:13" x14ac:dyDescent="0.25">
      <c r="A2219" t="s">
        <v>5597</v>
      </c>
      <c r="B2219">
        <v>403430</v>
      </c>
      <c r="C2219">
        <v>5868985</v>
      </c>
      <c r="D2219">
        <v>21</v>
      </c>
      <c r="E2219" t="s">
        <v>15</v>
      </c>
      <c r="F2219" t="s">
        <v>5598</v>
      </c>
      <c r="G2219">
        <v>1</v>
      </c>
      <c r="H2219" t="s">
        <v>1913</v>
      </c>
      <c r="I2219" t="s">
        <v>35</v>
      </c>
      <c r="J2219" t="s">
        <v>771</v>
      </c>
      <c r="K2219" t="s">
        <v>228</v>
      </c>
      <c r="L2219" t="s">
        <v>5599</v>
      </c>
      <c r="M2219" s="3" t="str">
        <f>HYPERLINK("..\..\Imagery\ScannedPhotos\1997\CG97-092.jpg")</f>
        <v>..\..\Imagery\ScannedPhotos\1997\CG97-092.jpg</v>
      </c>
    </row>
    <row r="2220" spans="1:13" x14ac:dyDescent="0.25">
      <c r="A2220" t="s">
        <v>5597</v>
      </c>
      <c r="B2220">
        <v>403430</v>
      </c>
      <c r="C2220">
        <v>5868985</v>
      </c>
      <c r="D2220">
        <v>21</v>
      </c>
      <c r="E2220" t="s">
        <v>15</v>
      </c>
      <c r="F2220" t="s">
        <v>5600</v>
      </c>
      <c r="G2220">
        <v>2</v>
      </c>
      <c r="H2220" t="s">
        <v>1919</v>
      </c>
      <c r="I2220" t="s">
        <v>30</v>
      </c>
      <c r="J2220" t="s">
        <v>771</v>
      </c>
      <c r="K2220" t="s">
        <v>228</v>
      </c>
      <c r="L2220" t="s">
        <v>5601</v>
      </c>
      <c r="M2220" s="3" t="str">
        <f>HYPERLINK("..\..\Imagery\ScannedPhotos\1997\CG97-092.1.jpg")</f>
        <v>..\..\Imagery\ScannedPhotos\1997\CG97-092.1.jpg</v>
      </c>
    </row>
    <row r="2221" spans="1:13" x14ac:dyDescent="0.25">
      <c r="A2221" t="s">
        <v>5602</v>
      </c>
      <c r="B2221">
        <v>498034</v>
      </c>
      <c r="C2221">
        <v>5944231</v>
      </c>
      <c r="D2221">
        <v>21</v>
      </c>
      <c r="E2221" t="s">
        <v>15</v>
      </c>
      <c r="F2221" t="s">
        <v>5603</v>
      </c>
      <c r="G2221">
        <v>2</v>
      </c>
      <c r="K2221" t="s">
        <v>535</v>
      </c>
      <c r="L2221" t="s">
        <v>5604</v>
      </c>
      <c r="M2221" s="3" t="str">
        <f>HYPERLINK("..\..\Imagery\ScannedPhotos\2004\CG04-157.2.jpg")</f>
        <v>..\..\Imagery\ScannedPhotos\2004\CG04-157.2.jpg</v>
      </c>
    </row>
    <row r="2222" spans="1:13" x14ac:dyDescent="0.25">
      <c r="A2222" t="s">
        <v>5605</v>
      </c>
      <c r="B2222">
        <v>498325</v>
      </c>
      <c r="C2222">
        <v>5835125</v>
      </c>
      <c r="D2222">
        <v>21</v>
      </c>
      <c r="E2222" t="s">
        <v>15</v>
      </c>
      <c r="F2222" t="s">
        <v>5606</v>
      </c>
      <c r="G2222">
        <v>1</v>
      </c>
      <c r="H2222" t="s">
        <v>1712</v>
      </c>
      <c r="I2222" t="s">
        <v>360</v>
      </c>
      <c r="J2222" t="s">
        <v>1713</v>
      </c>
      <c r="K2222" t="s">
        <v>20</v>
      </c>
      <c r="L2222" t="s">
        <v>322</v>
      </c>
      <c r="M2222" s="3" t="str">
        <f>HYPERLINK("..\..\Imagery\ScannedPhotos\1991\DE91-098.jpg")</f>
        <v>..\..\Imagery\ScannedPhotos\1991\DE91-098.jpg</v>
      </c>
    </row>
    <row r="2223" spans="1:13" x14ac:dyDescent="0.25">
      <c r="A2223" t="s">
        <v>5607</v>
      </c>
      <c r="B2223">
        <v>496850</v>
      </c>
      <c r="C2223">
        <v>5833725</v>
      </c>
      <c r="D2223">
        <v>21</v>
      </c>
      <c r="E2223" t="s">
        <v>15</v>
      </c>
      <c r="F2223" t="s">
        <v>5608</v>
      </c>
      <c r="G2223">
        <v>1</v>
      </c>
      <c r="H2223" t="s">
        <v>1712</v>
      </c>
      <c r="I2223" t="s">
        <v>647</v>
      </c>
      <c r="J2223" t="s">
        <v>1713</v>
      </c>
      <c r="K2223" t="s">
        <v>20</v>
      </c>
      <c r="L2223" t="s">
        <v>322</v>
      </c>
      <c r="M2223" s="3" t="str">
        <f>HYPERLINK("..\..\Imagery\ScannedPhotos\1991\DE91-101.jpg")</f>
        <v>..\..\Imagery\ScannedPhotos\1991\DE91-101.jpg</v>
      </c>
    </row>
    <row r="2224" spans="1:13" x14ac:dyDescent="0.25">
      <c r="A2224" t="s">
        <v>5609</v>
      </c>
      <c r="B2224">
        <v>465175</v>
      </c>
      <c r="C2224">
        <v>5836250</v>
      </c>
      <c r="D2224">
        <v>21</v>
      </c>
      <c r="E2224" t="s">
        <v>15</v>
      </c>
      <c r="F2224" t="s">
        <v>5610</v>
      </c>
      <c r="G2224">
        <v>2</v>
      </c>
      <c r="H2224" t="s">
        <v>1712</v>
      </c>
      <c r="I2224" t="s">
        <v>30</v>
      </c>
      <c r="J2224" t="s">
        <v>1713</v>
      </c>
      <c r="K2224" t="s">
        <v>20</v>
      </c>
      <c r="L2224" t="s">
        <v>1045</v>
      </c>
      <c r="M2224" s="3" t="str">
        <f>HYPERLINK("..\..\Imagery\ScannedPhotos\1991\DE91-105.1.jpg")</f>
        <v>..\..\Imagery\ScannedPhotos\1991\DE91-105.1.jpg</v>
      </c>
    </row>
    <row r="2225" spans="1:14" x14ac:dyDescent="0.25">
      <c r="A2225" t="s">
        <v>5609</v>
      </c>
      <c r="B2225">
        <v>465175</v>
      </c>
      <c r="C2225">
        <v>5836250</v>
      </c>
      <c r="D2225">
        <v>21</v>
      </c>
      <c r="E2225" t="s">
        <v>15</v>
      </c>
      <c r="F2225" t="s">
        <v>5611</v>
      </c>
      <c r="G2225">
        <v>2</v>
      </c>
      <c r="H2225" t="s">
        <v>1712</v>
      </c>
      <c r="I2225" t="s">
        <v>114</v>
      </c>
      <c r="J2225" t="s">
        <v>1713</v>
      </c>
      <c r="K2225" t="s">
        <v>20</v>
      </c>
      <c r="L2225" t="s">
        <v>1045</v>
      </c>
      <c r="M2225" s="3" t="str">
        <f>HYPERLINK("..\..\Imagery\ScannedPhotos\1991\DE91-105.2.jpg")</f>
        <v>..\..\Imagery\ScannedPhotos\1991\DE91-105.2.jpg</v>
      </c>
    </row>
    <row r="2226" spans="1:14" x14ac:dyDescent="0.25">
      <c r="A2226" t="s">
        <v>5612</v>
      </c>
      <c r="B2226">
        <v>472984</v>
      </c>
      <c r="C2226">
        <v>5866200</v>
      </c>
      <c r="D2226">
        <v>21</v>
      </c>
      <c r="E2226" t="s">
        <v>15</v>
      </c>
      <c r="F2226" t="s">
        <v>5613</v>
      </c>
      <c r="G2226">
        <v>1</v>
      </c>
      <c r="H2226" t="s">
        <v>1712</v>
      </c>
      <c r="I2226" t="s">
        <v>119</v>
      </c>
      <c r="J2226" t="s">
        <v>1713</v>
      </c>
      <c r="K2226" t="s">
        <v>56</v>
      </c>
      <c r="L2226" t="s">
        <v>322</v>
      </c>
      <c r="M2226" s="3" t="str">
        <f>HYPERLINK("..\..\Imagery\ScannedPhotos\1991\DE91-110.jpg")</f>
        <v>..\..\Imagery\ScannedPhotos\1991\DE91-110.jpg</v>
      </c>
    </row>
    <row r="2227" spans="1:14" x14ac:dyDescent="0.25">
      <c r="A2227" t="s">
        <v>5614</v>
      </c>
      <c r="B2227">
        <v>554503</v>
      </c>
      <c r="C2227">
        <v>5752303</v>
      </c>
      <c r="D2227">
        <v>21</v>
      </c>
      <c r="E2227" t="s">
        <v>15</v>
      </c>
      <c r="F2227" t="s">
        <v>5615</v>
      </c>
      <c r="G2227">
        <v>1</v>
      </c>
      <c r="H2227" t="s">
        <v>2816</v>
      </c>
      <c r="I2227" t="s">
        <v>94</v>
      </c>
      <c r="J2227" t="s">
        <v>1514</v>
      </c>
      <c r="K2227" t="s">
        <v>20</v>
      </c>
      <c r="L2227" t="s">
        <v>5616</v>
      </c>
      <c r="M2227" s="3" t="str">
        <f>HYPERLINK("..\..\Imagery\ScannedPhotos\1993\DL93-288.jpg")</f>
        <v>..\..\Imagery\ScannedPhotos\1993\DL93-288.jpg</v>
      </c>
    </row>
    <row r="2228" spans="1:14" x14ac:dyDescent="0.25">
      <c r="A2228" t="s">
        <v>5617</v>
      </c>
      <c r="B2228">
        <v>545000</v>
      </c>
      <c r="C2228">
        <v>5839548</v>
      </c>
      <c r="D2228">
        <v>21</v>
      </c>
      <c r="E2228" t="s">
        <v>15</v>
      </c>
      <c r="F2228" t="s">
        <v>5618</v>
      </c>
      <c r="G2228">
        <v>3</v>
      </c>
      <c r="K2228" t="s">
        <v>56</v>
      </c>
      <c r="L2228" t="s">
        <v>5619</v>
      </c>
      <c r="M2228" s="3" t="str">
        <f>HYPERLINK("..\..\Imagery\ScannedPhotos\2004\CG04-034.1.jpg")</f>
        <v>..\..\Imagery\ScannedPhotos\2004\CG04-034.1.jpg</v>
      </c>
    </row>
    <row r="2229" spans="1:14" x14ac:dyDescent="0.25">
      <c r="A2229" t="s">
        <v>5617</v>
      </c>
      <c r="B2229">
        <v>545000</v>
      </c>
      <c r="C2229">
        <v>5839548</v>
      </c>
      <c r="D2229">
        <v>21</v>
      </c>
      <c r="E2229" t="s">
        <v>15</v>
      </c>
      <c r="F2229" t="s">
        <v>5620</v>
      </c>
      <c r="G2229">
        <v>3</v>
      </c>
      <c r="K2229" t="s">
        <v>56</v>
      </c>
      <c r="L2229" t="s">
        <v>5619</v>
      </c>
      <c r="M2229" s="3" t="str">
        <f>HYPERLINK("..\..\Imagery\ScannedPhotos\2004\CG04-034.2.jpg")</f>
        <v>..\..\Imagery\ScannedPhotos\2004\CG04-034.2.jpg</v>
      </c>
    </row>
    <row r="2230" spans="1:14" x14ac:dyDescent="0.25">
      <c r="A2230" t="s">
        <v>5617</v>
      </c>
      <c r="B2230">
        <v>545000</v>
      </c>
      <c r="C2230">
        <v>5839548</v>
      </c>
      <c r="D2230">
        <v>21</v>
      </c>
      <c r="E2230" t="s">
        <v>15</v>
      </c>
      <c r="F2230" t="s">
        <v>5621</v>
      </c>
      <c r="G2230">
        <v>3</v>
      </c>
      <c r="K2230" t="s">
        <v>56</v>
      </c>
      <c r="L2230" t="s">
        <v>5622</v>
      </c>
      <c r="M2230" s="3" t="str">
        <f>HYPERLINK("..\..\Imagery\ScannedPhotos\2004\CG04-034.3.jpg")</f>
        <v>..\..\Imagery\ScannedPhotos\2004\CG04-034.3.jpg</v>
      </c>
    </row>
    <row r="2231" spans="1:14" x14ac:dyDescent="0.25">
      <c r="A2231" t="s">
        <v>2437</v>
      </c>
      <c r="B2231">
        <v>490968</v>
      </c>
      <c r="C2231">
        <v>6039407</v>
      </c>
      <c r="D2231">
        <v>21</v>
      </c>
      <c r="E2231" t="s">
        <v>15</v>
      </c>
      <c r="F2231" t="s">
        <v>5623</v>
      </c>
      <c r="G2231">
        <v>6</v>
      </c>
      <c r="H2231" t="s">
        <v>2439</v>
      </c>
      <c r="I2231" t="s">
        <v>209</v>
      </c>
      <c r="J2231" t="s">
        <v>2440</v>
      </c>
      <c r="K2231" t="s">
        <v>20</v>
      </c>
      <c r="L2231" t="s">
        <v>2441</v>
      </c>
      <c r="M2231" s="3" t="str">
        <f>HYPERLINK("..\..\Imagery\ScannedPhotos\1992\CG92-066.4.jpg")</f>
        <v>..\..\Imagery\ScannedPhotos\1992\CG92-066.4.jpg</v>
      </c>
    </row>
    <row r="2232" spans="1:14" x14ac:dyDescent="0.25">
      <c r="A2232" t="s">
        <v>5624</v>
      </c>
      <c r="B2232">
        <v>494685</v>
      </c>
      <c r="C2232">
        <v>5795346</v>
      </c>
      <c r="D2232">
        <v>21</v>
      </c>
      <c r="E2232" t="s">
        <v>15</v>
      </c>
      <c r="F2232" t="s">
        <v>5625</v>
      </c>
      <c r="G2232">
        <v>2</v>
      </c>
      <c r="H2232" t="s">
        <v>813</v>
      </c>
      <c r="I2232" t="s">
        <v>126</v>
      </c>
      <c r="J2232" t="s">
        <v>814</v>
      </c>
      <c r="K2232" t="s">
        <v>56</v>
      </c>
      <c r="L2232" t="s">
        <v>5626</v>
      </c>
      <c r="M2232" s="3" t="str">
        <f>HYPERLINK("..\..\Imagery\ScannedPhotos\1992\CG92-074.2cropped.jpg")</f>
        <v>..\..\Imagery\ScannedPhotos\1992\CG92-074.2cropped.jpg</v>
      </c>
      <c r="N2232" t="s">
        <v>4297</v>
      </c>
    </row>
    <row r="2233" spans="1:14" x14ac:dyDescent="0.25">
      <c r="A2233" t="s">
        <v>5627</v>
      </c>
      <c r="B2233">
        <v>592217</v>
      </c>
      <c r="C2233">
        <v>5790299</v>
      </c>
      <c r="D2233">
        <v>21</v>
      </c>
      <c r="E2233" t="s">
        <v>15</v>
      </c>
      <c r="F2233" t="s">
        <v>5628</v>
      </c>
      <c r="G2233">
        <v>2</v>
      </c>
      <c r="K2233" t="s">
        <v>56</v>
      </c>
      <c r="L2233" t="s">
        <v>5629</v>
      </c>
      <c r="M2233" s="3" t="str">
        <f>HYPERLINK("..\..\Imagery\ScannedPhotos\2007\CG07-140.2.jpg")</f>
        <v>..\..\Imagery\ScannedPhotos\2007\CG07-140.2.jpg</v>
      </c>
    </row>
    <row r="2234" spans="1:14" x14ac:dyDescent="0.25">
      <c r="A2234" t="s">
        <v>5630</v>
      </c>
      <c r="B2234">
        <v>596336</v>
      </c>
      <c r="C2234">
        <v>5792761</v>
      </c>
      <c r="D2234">
        <v>21</v>
      </c>
      <c r="E2234" t="s">
        <v>15</v>
      </c>
      <c r="F2234" t="s">
        <v>5631</v>
      </c>
      <c r="G2234">
        <v>4</v>
      </c>
      <c r="K2234" t="s">
        <v>20</v>
      </c>
      <c r="L2234" t="s">
        <v>5632</v>
      </c>
      <c r="M2234" s="3" t="str">
        <f>HYPERLINK("..\..\Imagery\ScannedPhotos\2007\CG07-141.1.jpg")</f>
        <v>..\..\Imagery\ScannedPhotos\2007\CG07-141.1.jpg</v>
      </c>
    </row>
    <row r="2235" spans="1:14" x14ac:dyDescent="0.25">
      <c r="A2235" t="s">
        <v>5630</v>
      </c>
      <c r="B2235">
        <v>596336</v>
      </c>
      <c r="C2235">
        <v>5792761</v>
      </c>
      <c r="D2235">
        <v>21</v>
      </c>
      <c r="E2235" t="s">
        <v>15</v>
      </c>
      <c r="F2235" t="s">
        <v>5633</v>
      </c>
      <c r="G2235">
        <v>4</v>
      </c>
      <c r="K2235" t="s">
        <v>228</v>
      </c>
      <c r="L2235" t="s">
        <v>5634</v>
      </c>
      <c r="M2235" s="3" t="str">
        <f>HYPERLINK("..\..\Imagery\ScannedPhotos\2007\CG07-141.2.jpg")</f>
        <v>..\..\Imagery\ScannedPhotos\2007\CG07-141.2.jpg</v>
      </c>
    </row>
    <row r="2236" spans="1:14" x14ac:dyDescent="0.25">
      <c r="A2236" t="s">
        <v>5630</v>
      </c>
      <c r="B2236">
        <v>596336</v>
      </c>
      <c r="C2236">
        <v>5792761</v>
      </c>
      <c r="D2236">
        <v>21</v>
      </c>
      <c r="E2236" t="s">
        <v>15</v>
      </c>
      <c r="F2236" t="s">
        <v>5635</v>
      </c>
      <c r="G2236">
        <v>4</v>
      </c>
      <c r="K2236" t="s">
        <v>228</v>
      </c>
      <c r="L2236" t="s">
        <v>5634</v>
      </c>
      <c r="M2236" s="3" t="str">
        <f>HYPERLINK("..\..\Imagery\ScannedPhotos\2007\CG07-141.3.jpg")</f>
        <v>..\..\Imagery\ScannedPhotos\2007\CG07-141.3.jpg</v>
      </c>
    </row>
    <row r="2237" spans="1:14" x14ac:dyDescent="0.25">
      <c r="A2237" t="s">
        <v>5630</v>
      </c>
      <c r="B2237">
        <v>596336</v>
      </c>
      <c r="C2237">
        <v>5792761</v>
      </c>
      <c r="D2237">
        <v>21</v>
      </c>
      <c r="E2237" t="s">
        <v>15</v>
      </c>
      <c r="F2237" t="s">
        <v>5636</v>
      </c>
      <c r="G2237">
        <v>4</v>
      </c>
      <c r="K2237" t="s">
        <v>228</v>
      </c>
      <c r="L2237" t="s">
        <v>5634</v>
      </c>
      <c r="M2237" s="3" t="str">
        <f>HYPERLINK("..\..\Imagery\ScannedPhotos\2007\CG07-141.4.jpg")</f>
        <v>..\..\Imagery\ScannedPhotos\2007\CG07-141.4.jpg</v>
      </c>
    </row>
    <row r="2238" spans="1:14" x14ac:dyDescent="0.25">
      <c r="A2238" t="s">
        <v>5637</v>
      </c>
      <c r="B2238">
        <v>596337</v>
      </c>
      <c r="C2238">
        <v>5792691</v>
      </c>
      <c r="D2238">
        <v>21</v>
      </c>
      <c r="E2238" t="s">
        <v>15</v>
      </c>
      <c r="F2238" t="s">
        <v>5638</v>
      </c>
      <c r="G2238">
        <v>1</v>
      </c>
      <c r="K2238" t="s">
        <v>56</v>
      </c>
      <c r="L2238" t="s">
        <v>5639</v>
      </c>
      <c r="M2238" s="3" t="str">
        <f>HYPERLINK("..\..\Imagery\ScannedPhotos\2007\CG07-142.jpg")</f>
        <v>..\..\Imagery\ScannedPhotos\2007\CG07-142.jpg</v>
      </c>
    </row>
    <row r="2239" spans="1:14" x14ac:dyDescent="0.25">
      <c r="A2239" t="s">
        <v>3356</v>
      </c>
      <c r="B2239">
        <v>596424</v>
      </c>
      <c r="C2239">
        <v>5792773</v>
      </c>
      <c r="D2239">
        <v>21</v>
      </c>
      <c r="E2239" t="s">
        <v>15</v>
      </c>
      <c r="F2239" t="s">
        <v>5640</v>
      </c>
      <c r="G2239">
        <v>6</v>
      </c>
      <c r="K2239" t="s">
        <v>228</v>
      </c>
      <c r="L2239" t="s">
        <v>5641</v>
      </c>
      <c r="M2239" s="3" t="str">
        <f>HYPERLINK("..\..\Imagery\ScannedPhotos\2007\CG07-143.1.jpg")</f>
        <v>..\..\Imagery\ScannedPhotos\2007\CG07-143.1.jpg</v>
      </c>
    </row>
    <row r="2240" spans="1:14" x14ac:dyDescent="0.25">
      <c r="A2240" t="s">
        <v>5642</v>
      </c>
      <c r="B2240">
        <v>450124</v>
      </c>
      <c r="C2240">
        <v>5904621</v>
      </c>
      <c r="D2240">
        <v>21</v>
      </c>
      <c r="E2240" t="s">
        <v>15</v>
      </c>
      <c r="F2240" t="s">
        <v>5643</v>
      </c>
      <c r="G2240">
        <v>1</v>
      </c>
      <c r="H2240" t="s">
        <v>1333</v>
      </c>
      <c r="I2240" t="s">
        <v>122</v>
      </c>
      <c r="J2240" t="s">
        <v>1334</v>
      </c>
      <c r="K2240" t="s">
        <v>20</v>
      </c>
      <c r="L2240" t="s">
        <v>5644</v>
      </c>
      <c r="M2240" s="3" t="str">
        <f>HYPERLINK("..\..\Imagery\ScannedPhotos\1984\CG84-169.jpg")</f>
        <v>..\..\Imagery\ScannedPhotos\1984\CG84-169.jpg</v>
      </c>
    </row>
    <row r="2241" spans="1:13" x14ac:dyDescent="0.25">
      <c r="A2241" t="s">
        <v>2282</v>
      </c>
      <c r="B2241">
        <v>504835</v>
      </c>
      <c r="C2241">
        <v>5970254</v>
      </c>
      <c r="D2241">
        <v>21</v>
      </c>
      <c r="E2241" t="s">
        <v>15</v>
      </c>
      <c r="F2241" t="s">
        <v>5645</v>
      </c>
      <c r="G2241">
        <v>20</v>
      </c>
      <c r="H2241" t="s">
        <v>2284</v>
      </c>
      <c r="I2241" t="s">
        <v>195</v>
      </c>
      <c r="J2241" t="s">
        <v>3136</v>
      </c>
      <c r="K2241" t="s">
        <v>228</v>
      </c>
      <c r="L2241" t="s">
        <v>5646</v>
      </c>
      <c r="M2241" s="3" t="str">
        <f>HYPERLINK("..\..\Imagery\ScannedPhotos\1984\CG84-172.12.jpg")</f>
        <v>..\..\Imagery\ScannedPhotos\1984\CG84-172.12.jpg</v>
      </c>
    </row>
    <row r="2242" spans="1:13" x14ac:dyDescent="0.25">
      <c r="A2242" t="s">
        <v>2282</v>
      </c>
      <c r="B2242">
        <v>504835</v>
      </c>
      <c r="C2242">
        <v>5970254</v>
      </c>
      <c r="D2242">
        <v>21</v>
      </c>
      <c r="E2242" t="s">
        <v>15</v>
      </c>
      <c r="F2242" t="s">
        <v>5647</v>
      </c>
      <c r="G2242">
        <v>20</v>
      </c>
      <c r="H2242" t="s">
        <v>2084</v>
      </c>
      <c r="I2242" t="s">
        <v>126</v>
      </c>
      <c r="J2242" t="s">
        <v>1014</v>
      </c>
      <c r="K2242" t="s">
        <v>20</v>
      </c>
      <c r="L2242" t="s">
        <v>5648</v>
      </c>
      <c r="M2242" s="3" t="str">
        <f>HYPERLINK("..\..\Imagery\ScannedPhotos\1984\CG84-172.18.jpg")</f>
        <v>..\..\Imagery\ScannedPhotos\1984\CG84-172.18.jpg</v>
      </c>
    </row>
    <row r="2243" spans="1:13" x14ac:dyDescent="0.25">
      <c r="A2243" t="s">
        <v>2282</v>
      </c>
      <c r="B2243">
        <v>504835</v>
      </c>
      <c r="C2243">
        <v>5970254</v>
      </c>
      <c r="D2243">
        <v>21</v>
      </c>
      <c r="E2243" t="s">
        <v>15</v>
      </c>
      <c r="F2243" t="s">
        <v>5649</v>
      </c>
      <c r="G2243">
        <v>20</v>
      </c>
      <c r="H2243" t="s">
        <v>5650</v>
      </c>
      <c r="I2243" t="s">
        <v>214</v>
      </c>
      <c r="J2243" t="s">
        <v>5651</v>
      </c>
      <c r="K2243" t="s">
        <v>20</v>
      </c>
      <c r="L2243" t="s">
        <v>5652</v>
      </c>
      <c r="M2243" s="3" t="str">
        <f>HYPERLINK("..\..\Imagery\ScannedPhotos\1984\CG84-172.11.jpg")</f>
        <v>..\..\Imagery\ScannedPhotos\1984\CG84-172.11.jpg</v>
      </c>
    </row>
    <row r="2244" spans="1:13" x14ac:dyDescent="0.25">
      <c r="A2244" t="s">
        <v>2282</v>
      </c>
      <c r="B2244">
        <v>504835</v>
      </c>
      <c r="C2244">
        <v>5970254</v>
      </c>
      <c r="D2244">
        <v>21</v>
      </c>
      <c r="E2244" t="s">
        <v>15</v>
      </c>
      <c r="F2244" t="s">
        <v>5653</v>
      </c>
      <c r="G2244">
        <v>20</v>
      </c>
      <c r="H2244" t="s">
        <v>2084</v>
      </c>
      <c r="I2244" t="s">
        <v>108</v>
      </c>
      <c r="J2244" t="s">
        <v>1014</v>
      </c>
      <c r="K2244" t="s">
        <v>20</v>
      </c>
      <c r="L2244" t="s">
        <v>5648</v>
      </c>
      <c r="M2244" s="3" t="str">
        <f>HYPERLINK("..\..\Imagery\ScannedPhotos\1984\CG84-172.19.jpg")</f>
        <v>..\..\Imagery\ScannedPhotos\1984\CG84-172.19.jpg</v>
      </c>
    </row>
    <row r="2245" spans="1:13" x14ac:dyDescent="0.25">
      <c r="A2245" t="s">
        <v>2282</v>
      </c>
      <c r="B2245">
        <v>504835</v>
      </c>
      <c r="C2245">
        <v>5970254</v>
      </c>
      <c r="D2245">
        <v>21</v>
      </c>
      <c r="E2245" t="s">
        <v>15</v>
      </c>
      <c r="F2245" t="s">
        <v>5654</v>
      </c>
      <c r="G2245">
        <v>20</v>
      </c>
      <c r="H2245" t="s">
        <v>1333</v>
      </c>
      <c r="I2245" t="s">
        <v>47</v>
      </c>
      <c r="J2245" t="s">
        <v>1334</v>
      </c>
      <c r="K2245" t="s">
        <v>20</v>
      </c>
      <c r="L2245" t="s">
        <v>5655</v>
      </c>
      <c r="M2245" s="3" t="str">
        <f>HYPERLINK("..\..\Imagery\ScannedPhotos\1984\CG84-172.8.jpg")</f>
        <v>..\..\Imagery\ScannedPhotos\1984\CG84-172.8.jpg</v>
      </c>
    </row>
    <row r="2246" spans="1:13" x14ac:dyDescent="0.25">
      <c r="A2246" t="s">
        <v>2201</v>
      </c>
      <c r="B2246">
        <v>580110</v>
      </c>
      <c r="C2246">
        <v>5761847</v>
      </c>
      <c r="D2246">
        <v>21</v>
      </c>
      <c r="E2246" t="s">
        <v>15</v>
      </c>
      <c r="F2246" t="s">
        <v>5656</v>
      </c>
      <c r="G2246">
        <v>3</v>
      </c>
      <c r="H2246" t="s">
        <v>1618</v>
      </c>
      <c r="I2246" t="s">
        <v>47</v>
      </c>
      <c r="J2246" t="s">
        <v>1619</v>
      </c>
      <c r="K2246" t="s">
        <v>56</v>
      </c>
      <c r="L2246" t="s">
        <v>5657</v>
      </c>
      <c r="M2246" s="3" t="str">
        <f>HYPERLINK("..\..\Imagery\ScannedPhotos\1987\CG87-421.3.jpg")</f>
        <v>..\..\Imagery\ScannedPhotos\1987\CG87-421.3.jpg</v>
      </c>
    </row>
    <row r="2247" spans="1:13" x14ac:dyDescent="0.25">
      <c r="A2247" t="s">
        <v>2244</v>
      </c>
      <c r="B2247">
        <v>402144</v>
      </c>
      <c r="C2247">
        <v>5957726</v>
      </c>
      <c r="D2247">
        <v>21</v>
      </c>
      <c r="E2247" t="s">
        <v>15</v>
      </c>
      <c r="F2247" t="s">
        <v>5658</v>
      </c>
      <c r="G2247">
        <v>7</v>
      </c>
      <c r="H2247" t="s">
        <v>2246</v>
      </c>
      <c r="I2247" t="s">
        <v>126</v>
      </c>
      <c r="J2247" t="s">
        <v>2247</v>
      </c>
      <c r="K2247" t="s">
        <v>20</v>
      </c>
      <c r="L2247" t="s">
        <v>2250</v>
      </c>
      <c r="M2247" s="3" t="str">
        <f>HYPERLINK("..\..\Imagery\ScannedPhotos\1981\CG81-556.5.jpg")</f>
        <v>..\..\Imagery\ScannedPhotos\1981\CG81-556.5.jpg</v>
      </c>
    </row>
    <row r="2248" spans="1:13" x14ac:dyDescent="0.25">
      <c r="A2248" t="s">
        <v>5659</v>
      </c>
      <c r="B2248">
        <v>568722</v>
      </c>
      <c r="C2248">
        <v>5917524</v>
      </c>
      <c r="D2248">
        <v>21</v>
      </c>
      <c r="E2248" t="s">
        <v>15</v>
      </c>
      <c r="F2248" t="s">
        <v>5660</v>
      </c>
      <c r="G2248">
        <v>4</v>
      </c>
      <c r="H2248" t="s">
        <v>1577</v>
      </c>
      <c r="I2248" t="s">
        <v>143</v>
      </c>
      <c r="J2248" t="s">
        <v>1374</v>
      </c>
      <c r="K2248" t="s">
        <v>20</v>
      </c>
      <c r="L2248" t="s">
        <v>5661</v>
      </c>
      <c r="M2248" s="3" t="str">
        <f>HYPERLINK("..\..\Imagery\ScannedPhotos\1985\GM85-637.3.jpg")</f>
        <v>..\..\Imagery\ScannedPhotos\1985\GM85-637.3.jpg</v>
      </c>
    </row>
    <row r="2249" spans="1:13" x14ac:dyDescent="0.25">
      <c r="A2249" t="s">
        <v>5659</v>
      </c>
      <c r="B2249">
        <v>568722</v>
      </c>
      <c r="C2249">
        <v>5917524</v>
      </c>
      <c r="D2249">
        <v>21</v>
      </c>
      <c r="E2249" t="s">
        <v>15</v>
      </c>
      <c r="F2249" t="s">
        <v>5662</v>
      </c>
      <c r="G2249">
        <v>4</v>
      </c>
      <c r="H2249" t="s">
        <v>1577</v>
      </c>
      <c r="I2249" t="s">
        <v>147</v>
      </c>
      <c r="J2249" t="s">
        <v>1374</v>
      </c>
      <c r="K2249" t="s">
        <v>20</v>
      </c>
      <c r="L2249" t="s">
        <v>5661</v>
      </c>
      <c r="M2249" s="3" t="str">
        <f>HYPERLINK("..\..\Imagery\ScannedPhotos\1985\GM85-637.4.jpg")</f>
        <v>..\..\Imagery\ScannedPhotos\1985\GM85-637.4.jpg</v>
      </c>
    </row>
    <row r="2250" spans="1:13" x14ac:dyDescent="0.25">
      <c r="A2250" t="s">
        <v>5659</v>
      </c>
      <c r="B2250">
        <v>568722</v>
      </c>
      <c r="C2250">
        <v>5917524</v>
      </c>
      <c r="D2250">
        <v>21</v>
      </c>
      <c r="E2250" t="s">
        <v>15</v>
      </c>
      <c r="F2250" t="s">
        <v>5663</v>
      </c>
      <c r="G2250">
        <v>4</v>
      </c>
      <c r="H2250" t="s">
        <v>1577</v>
      </c>
      <c r="I2250" t="s">
        <v>132</v>
      </c>
      <c r="J2250" t="s">
        <v>1374</v>
      </c>
      <c r="K2250" t="s">
        <v>20</v>
      </c>
      <c r="L2250" t="s">
        <v>5664</v>
      </c>
      <c r="M2250" s="3" t="str">
        <f>HYPERLINK("..\..\Imagery\ScannedPhotos\1985\GM85-637.1.jpg")</f>
        <v>..\..\Imagery\ScannedPhotos\1985\GM85-637.1.jpg</v>
      </c>
    </row>
    <row r="2251" spans="1:13" x14ac:dyDescent="0.25">
      <c r="A2251" t="s">
        <v>5665</v>
      </c>
      <c r="B2251">
        <v>567624</v>
      </c>
      <c r="C2251">
        <v>5918200</v>
      </c>
      <c r="D2251">
        <v>21</v>
      </c>
      <c r="E2251" t="s">
        <v>15</v>
      </c>
      <c r="F2251" t="s">
        <v>5666</v>
      </c>
      <c r="G2251">
        <v>1</v>
      </c>
      <c r="H2251" t="s">
        <v>1577</v>
      </c>
      <c r="I2251" t="s">
        <v>47</v>
      </c>
      <c r="J2251" t="s">
        <v>1374</v>
      </c>
      <c r="K2251" t="s">
        <v>20</v>
      </c>
      <c r="L2251" t="s">
        <v>5667</v>
      </c>
      <c r="M2251" s="3" t="str">
        <f>HYPERLINK("..\..\Imagery\ScannedPhotos\1985\GM85-640.jpg")</f>
        <v>..\..\Imagery\ScannedPhotos\1985\GM85-640.jpg</v>
      </c>
    </row>
    <row r="2252" spans="1:13" x14ac:dyDescent="0.25">
      <c r="A2252" t="s">
        <v>5668</v>
      </c>
      <c r="B2252">
        <v>387818</v>
      </c>
      <c r="C2252">
        <v>5906058</v>
      </c>
      <c r="D2252">
        <v>21</v>
      </c>
      <c r="E2252" t="s">
        <v>15</v>
      </c>
      <c r="F2252" t="s">
        <v>5669</v>
      </c>
      <c r="G2252">
        <v>1</v>
      </c>
      <c r="H2252" t="s">
        <v>562</v>
      </c>
      <c r="I2252" t="s">
        <v>132</v>
      </c>
      <c r="J2252" t="s">
        <v>563</v>
      </c>
      <c r="K2252" t="s">
        <v>20</v>
      </c>
      <c r="L2252" t="s">
        <v>5670</v>
      </c>
      <c r="M2252" s="3" t="str">
        <f>HYPERLINK("..\..\Imagery\ScannedPhotos\1995\VN95-159.jpg")</f>
        <v>..\..\Imagery\ScannedPhotos\1995\VN95-159.jpg</v>
      </c>
    </row>
    <row r="2253" spans="1:13" x14ac:dyDescent="0.25">
      <c r="A2253" t="s">
        <v>5671</v>
      </c>
      <c r="B2253">
        <v>448311</v>
      </c>
      <c r="C2253">
        <v>5881109</v>
      </c>
      <c r="D2253">
        <v>21</v>
      </c>
      <c r="E2253" t="s">
        <v>15</v>
      </c>
      <c r="F2253" t="s">
        <v>5672</v>
      </c>
      <c r="G2253">
        <v>3</v>
      </c>
      <c r="H2253" t="s">
        <v>60</v>
      </c>
      <c r="I2253" t="s">
        <v>119</v>
      </c>
      <c r="J2253" t="s">
        <v>61</v>
      </c>
      <c r="K2253" t="s">
        <v>56</v>
      </c>
      <c r="L2253" t="s">
        <v>3779</v>
      </c>
      <c r="M2253" s="3" t="str">
        <f>HYPERLINK("..\..\Imagery\ScannedPhotos\1984\CG84-241.3.jpg")</f>
        <v>..\..\Imagery\ScannedPhotos\1984\CG84-241.3.jpg</v>
      </c>
    </row>
    <row r="2254" spans="1:13" x14ac:dyDescent="0.25">
      <c r="A2254" t="s">
        <v>5226</v>
      </c>
      <c r="B2254">
        <v>579748</v>
      </c>
      <c r="C2254">
        <v>5833806</v>
      </c>
      <c r="D2254">
        <v>21</v>
      </c>
      <c r="E2254" t="s">
        <v>15</v>
      </c>
      <c r="F2254" t="s">
        <v>5673</v>
      </c>
      <c r="G2254">
        <v>2</v>
      </c>
      <c r="H2254" t="s">
        <v>1750</v>
      </c>
      <c r="I2254" t="s">
        <v>147</v>
      </c>
      <c r="J2254" t="s">
        <v>1751</v>
      </c>
      <c r="K2254" t="s">
        <v>20</v>
      </c>
      <c r="L2254" t="s">
        <v>5674</v>
      </c>
      <c r="M2254" s="3" t="str">
        <f>HYPERLINK("..\..\Imagery\ScannedPhotos\1986\MN86-401.1.jpg")</f>
        <v>..\..\Imagery\ScannedPhotos\1986\MN86-401.1.jpg</v>
      </c>
    </row>
    <row r="2255" spans="1:13" x14ac:dyDescent="0.25">
      <c r="A2255" t="s">
        <v>5675</v>
      </c>
      <c r="B2255">
        <v>579957</v>
      </c>
      <c r="C2255">
        <v>5833854</v>
      </c>
      <c r="D2255">
        <v>21</v>
      </c>
      <c r="E2255" t="s">
        <v>15</v>
      </c>
      <c r="F2255" t="s">
        <v>5676</v>
      </c>
      <c r="G2255">
        <v>1</v>
      </c>
      <c r="H2255" t="s">
        <v>99</v>
      </c>
      <c r="I2255" t="s">
        <v>122</v>
      </c>
      <c r="J2255" t="s">
        <v>100</v>
      </c>
      <c r="K2255" t="s">
        <v>20</v>
      </c>
      <c r="L2255" t="s">
        <v>5677</v>
      </c>
      <c r="M2255" s="3" t="str">
        <f>HYPERLINK("..\..\Imagery\ScannedPhotos\1986\MN86-402.jpg")</f>
        <v>..\..\Imagery\ScannedPhotos\1986\MN86-402.jpg</v>
      </c>
    </row>
    <row r="2256" spans="1:13" x14ac:dyDescent="0.25">
      <c r="A2256" t="s">
        <v>4562</v>
      </c>
      <c r="B2256">
        <v>378245</v>
      </c>
      <c r="C2256">
        <v>5981826</v>
      </c>
      <c r="D2256">
        <v>21</v>
      </c>
      <c r="E2256" t="s">
        <v>15</v>
      </c>
      <c r="F2256" t="s">
        <v>5678</v>
      </c>
      <c r="G2256">
        <v>2</v>
      </c>
      <c r="H2256" t="s">
        <v>4559</v>
      </c>
      <c r="I2256" t="s">
        <v>147</v>
      </c>
      <c r="J2256" t="s">
        <v>4560</v>
      </c>
      <c r="K2256" t="s">
        <v>20</v>
      </c>
      <c r="L2256" t="s">
        <v>1020</v>
      </c>
      <c r="M2256" s="3" t="str">
        <f>HYPERLINK("..\..\Imagery\ScannedPhotos\1980\NN80-351.2.jpg")</f>
        <v>..\..\Imagery\ScannedPhotos\1980\NN80-351.2.jpg</v>
      </c>
    </row>
    <row r="2257" spans="1:13" x14ac:dyDescent="0.25">
      <c r="A2257" t="s">
        <v>5679</v>
      </c>
      <c r="B2257">
        <v>381328</v>
      </c>
      <c r="C2257">
        <v>5982491</v>
      </c>
      <c r="D2257">
        <v>21</v>
      </c>
      <c r="E2257" t="s">
        <v>15</v>
      </c>
      <c r="F2257" t="s">
        <v>5680</v>
      </c>
      <c r="G2257">
        <v>1</v>
      </c>
      <c r="H2257" t="s">
        <v>4559</v>
      </c>
      <c r="I2257" t="s">
        <v>47</v>
      </c>
      <c r="J2257" t="s">
        <v>4560</v>
      </c>
      <c r="K2257" t="s">
        <v>20</v>
      </c>
      <c r="L2257" t="s">
        <v>5681</v>
      </c>
      <c r="M2257" s="3" t="str">
        <f>HYPERLINK("..\..\Imagery\ScannedPhotos\1980\NN80-358.jpg")</f>
        <v>..\..\Imagery\ScannedPhotos\1980\NN80-358.jpg</v>
      </c>
    </row>
    <row r="2258" spans="1:13" x14ac:dyDescent="0.25">
      <c r="A2258" t="s">
        <v>5682</v>
      </c>
      <c r="B2258">
        <v>381229</v>
      </c>
      <c r="C2258">
        <v>5986264</v>
      </c>
      <c r="D2258">
        <v>21</v>
      </c>
      <c r="E2258" t="s">
        <v>15</v>
      </c>
      <c r="F2258" t="s">
        <v>5683</v>
      </c>
      <c r="G2258">
        <v>2</v>
      </c>
      <c r="H2258" t="s">
        <v>4559</v>
      </c>
      <c r="I2258" t="s">
        <v>65</v>
      </c>
      <c r="J2258" t="s">
        <v>4560</v>
      </c>
      <c r="K2258" t="s">
        <v>20</v>
      </c>
      <c r="L2258" t="s">
        <v>5684</v>
      </c>
      <c r="M2258" s="3" t="str">
        <f>HYPERLINK("..\..\Imagery\ScannedPhotos\1980\NN80-360.2.jpg")</f>
        <v>..\..\Imagery\ScannedPhotos\1980\NN80-360.2.jpg</v>
      </c>
    </row>
    <row r="2259" spans="1:13" x14ac:dyDescent="0.25">
      <c r="A2259" t="s">
        <v>5682</v>
      </c>
      <c r="B2259">
        <v>381229</v>
      </c>
      <c r="C2259">
        <v>5986264</v>
      </c>
      <c r="D2259">
        <v>21</v>
      </c>
      <c r="E2259" t="s">
        <v>15</v>
      </c>
      <c r="F2259" t="s">
        <v>5685</v>
      </c>
      <c r="G2259">
        <v>2</v>
      </c>
      <c r="H2259" t="s">
        <v>4559</v>
      </c>
      <c r="I2259" t="s">
        <v>52</v>
      </c>
      <c r="J2259" t="s">
        <v>4560</v>
      </c>
      <c r="K2259" t="s">
        <v>56</v>
      </c>
      <c r="L2259" t="s">
        <v>5686</v>
      </c>
      <c r="M2259" s="3" t="str">
        <f>HYPERLINK("..\..\Imagery\ScannedPhotos\1980\NN80-360.1.jpg")</f>
        <v>..\..\Imagery\ScannedPhotos\1980\NN80-360.1.jpg</v>
      </c>
    </row>
    <row r="2260" spans="1:13" x14ac:dyDescent="0.25">
      <c r="A2260" t="s">
        <v>5687</v>
      </c>
      <c r="B2260">
        <v>442505</v>
      </c>
      <c r="C2260">
        <v>5921622</v>
      </c>
      <c r="D2260">
        <v>21</v>
      </c>
      <c r="E2260" t="s">
        <v>15</v>
      </c>
      <c r="F2260" t="s">
        <v>5688</v>
      </c>
      <c r="G2260">
        <v>1</v>
      </c>
      <c r="H2260" t="s">
        <v>2445</v>
      </c>
      <c r="I2260" t="s">
        <v>18</v>
      </c>
      <c r="J2260" t="s">
        <v>2446</v>
      </c>
      <c r="K2260" t="s">
        <v>56</v>
      </c>
      <c r="L2260" t="s">
        <v>5689</v>
      </c>
      <c r="M2260" s="3" t="str">
        <f>HYPERLINK("..\..\Imagery\ScannedPhotos\1984\NN84-028.jpg")</f>
        <v>..\..\Imagery\ScannedPhotos\1984\NN84-028.jpg</v>
      </c>
    </row>
    <row r="2261" spans="1:13" x14ac:dyDescent="0.25">
      <c r="A2261" t="s">
        <v>2443</v>
      </c>
      <c r="B2261">
        <v>445413</v>
      </c>
      <c r="C2261">
        <v>5922227</v>
      </c>
      <c r="D2261">
        <v>21</v>
      </c>
      <c r="E2261" t="s">
        <v>15</v>
      </c>
      <c r="F2261" t="s">
        <v>5690</v>
      </c>
      <c r="G2261">
        <v>4</v>
      </c>
      <c r="H2261" t="s">
        <v>2445</v>
      </c>
      <c r="I2261" t="s">
        <v>35</v>
      </c>
      <c r="J2261" t="s">
        <v>2446</v>
      </c>
      <c r="K2261" t="s">
        <v>56</v>
      </c>
      <c r="L2261" t="s">
        <v>5691</v>
      </c>
      <c r="M2261" s="3" t="str">
        <f>HYPERLINK("..\..\Imagery\ScannedPhotos\1984\NN84-032.1.jpg")</f>
        <v>..\..\Imagery\ScannedPhotos\1984\NN84-032.1.jpg</v>
      </c>
    </row>
    <row r="2262" spans="1:13" x14ac:dyDescent="0.25">
      <c r="A2262" t="s">
        <v>5692</v>
      </c>
      <c r="B2262">
        <v>375551</v>
      </c>
      <c r="C2262">
        <v>6086580</v>
      </c>
      <c r="D2262">
        <v>21</v>
      </c>
      <c r="E2262" t="s">
        <v>15</v>
      </c>
      <c r="F2262" t="s">
        <v>5693</v>
      </c>
      <c r="G2262">
        <v>2</v>
      </c>
      <c r="H2262" t="s">
        <v>1623</v>
      </c>
      <c r="I2262" t="s">
        <v>41</v>
      </c>
      <c r="J2262" t="s">
        <v>1624</v>
      </c>
      <c r="K2262" t="s">
        <v>20</v>
      </c>
      <c r="L2262" t="s">
        <v>5694</v>
      </c>
      <c r="M2262" s="3" t="str">
        <f>HYPERLINK("..\..\Imagery\ScannedPhotos\1978\AL78-019.2.jpg")</f>
        <v>..\..\Imagery\ScannedPhotos\1978\AL78-019.2.jpg</v>
      </c>
    </row>
    <row r="2263" spans="1:13" x14ac:dyDescent="0.25">
      <c r="A2263" t="s">
        <v>5692</v>
      </c>
      <c r="B2263">
        <v>375551</v>
      </c>
      <c r="C2263">
        <v>6086580</v>
      </c>
      <c r="D2263">
        <v>21</v>
      </c>
      <c r="E2263" t="s">
        <v>15</v>
      </c>
      <c r="F2263" t="s">
        <v>5695</v>
      </c>
      <c r="G2263">
        <v>2</v>
      </c>
      <c r="H2263" t="s">
        <v>1623</v>
      </c>
      <c r="I2263" t="s">
        <v>74</v>
      </c>
      <c r="J2263" t="s">
        <v>1624</v>
      </c>
      <c r="K2263" t="s">
        <v>20</v>
      </c>
      <c r="L2263" t="s">
        <v>5696</v>
      </c>
      <c r="M2263" s="3" t="str">
        <f>HYPERLINK("..\..\Imagery\ScannedPhotos\1978\AL78-019.1.jpg")</f>
        <v>..\..\Imagery\ScannedPhotos\1978\AL78-019.1.jpg</v>
      </c>
    </row>
    <row r="2264" spans="1:13" x14ac:dyDescent="0.25">
      <c r="A2264" t="s">
        <v>5697</v>
      </c>
      <c r="B2264">
        <v>374102</v>
      </c>
      <c r="C2264">
        <v>6094473</v>
      </c>
      <c r="D2264">
        <v>21</v>
      </c>
      <c r="E2264" t="s">
        <v>15</v>
      </c>
      <c r="F2264" t="s">
        <v>5698</v>
      </c>
      <c r="G2264">
        <v>1</v>
      </c>
      <c r="H2264" t="s">
        <v>1623</v>
      </c>
      <c r="I2264" t="s">
        <v>375</v>
      </c>
      <c r="J2264" t="s">
        <v>1624</v>
      </c>
      <c r="K2264" t="s">
        <v>20</v>
      </c>
      <c r="L2264" t="s">
        <v>5699</v>
      </c>
      <c r="M2264" s="3" t="str">
        <f>HYPERLINK("..\..\Imagery\ScannedPhotos\1978\AL78-022.jpg")</f>
        <v>..\..\Imagery\ScannedPhotos\1978\AL78-022.jpg</v>
      </c>
    </row>
    <row r="2265" spans="1:13" x14ac:dyDescent="0.25">
      <c r="A2265" t="s">
        <v>5700</v>
      </c>
      <c r="B2265">
        <v>569525</v>
      </c>
      <c r="C2265">
        <v>5760241</v>
      </c>
      <c r="D2265">
        <v>21</v>
      </c>
      <c r="E2265" t="s">
        <v>15</v>
      </c>
      <c r="F2265" t="s">
        <v>5701</v>
      </c>
      <c r="G2265">
        <v>1</v>
      </c>
      <c r="H2265" t="s">
        <v>984</v>
      </c>
      <c r="I2265" t="s">
        <v>217</v>
      </c>
      <c r="J2265" t="s">
        <v>985</v>
      </c>
      <c r="K2265" t="s">
        <v>20</v>
      </c>
      <c r="L2265" t="s">
        <v>5702</v>
      </c>
      <c r="M2265" s="3" t="str">
        <f>HYPERLINK("..\..\Imagery\ScannedPhotos\1993\VN93-696.jpg")</f>
        <v>..\..\Imagery\ScannedPhotos\1993\VN93-696.jpg</v>
      </c>
    </row>
    <row r="2266" spans="1:13" x14ac:dyDescent="0.25">
      <c r="A2266" t="s">
        <v>5703</v>
      </c>
      <c r="B2266">
        <v>515841</v>
      </c>
      <c r="C2266">
        <v>5756876</v>
      </c>
      <c r="D2266">
        <v>21</v>
      </c>
      <c r="E2266" t="s">
        <v>15</v>
      </c>
      <c r="F2266" t="s">
        <v>5704</v>
      </c>
      <c r="G2266">
        <v>1</v>
      </c>
      <c r="H2266" t="s">
        <v>984</v>
      </c>
      <c r="I2266" t="s">
        <v>195</v>
      </c>
      <c r="J2266" t="s">
        <v>985</v>
      </c>
      <c r="K2266" t="s">
        <v>56</v>
      </c>
      <c r="L2266" t="s">
        <v>5705</v>
      </c>
      <c r="M2266" s="3" t="str">
        <f>HYPERLINK("..\..\Imagery\ScannedPhotos\1993\VN93-718.jpg")</f>
        <v>..\..\Imagery\ScannedPhotos\1993\VN93-718.jpg</v>
      </c>
    </row>
    <row r="2267" spans="1:13" x14ac:dyDescent="0.25">
      <c r="A2267" t="s">
        <v>5706</v>
      </c>
      <c r="B2267">
        <v>515066</v>
      </c>
      <c r="C2267">
        <v>5756950</v>
      </c>
      <c r="D2267">
        <v>21</v>
      </c>
      <c r="E2267" t="s">
        <v>15</v>
      </c>
      <c r="F2267" t="s">
        <v>5707</v>
      </c>
      <c r="G2267">
        <v>1</v>
      </c>
      <c r="H2267" t="s">
        <v>984</v>
      </c>
      <c r="I2267" t="s">
        <v>25</v>
      </c>
      <c r="J2267" t="s">
        <v>985</v>
      </c>
      <c r="K2267" t="s">
        <v>20</v>
      </c>
      <c r="L2267" t="s">
        <v>5708</v>
      </c>
      <c r="M2267" s="3" t="str">
        <f>HYPERLINK("..\..\Imagery\ScannedPhotos\1993\VN93-721.jpg")</f>
        <v>..\..\Imagery\ScannedPhotos\1993\VN93-721.jpg</v>
      </c>
    </row>
    <row r="2268" spans="1:13" x14ac:dyDescent="0.25">
      <c r="A2268" t="s">
        <v>5709</v>
      </c>
      <c r="B2268">
        <v>431385</v>
      </c>
      <c r="C2268">
        <v>5882438</v>
      </c>
      <c r="D2268">
        <v>21</v>
      </c>
      <c r="E2268" t="s">
        <v>15</v>
      </c>
      <c r="F2268" t="s">
        <v>5710</v>
      </c>
      <c r="G2268">
        <v>2</v>
      </c>
      <c r="H2268" t="s">
        <v>1251</v>
      </c>
      <c r="I2268" t="s">
        <v>137</v>
      </c>
      <c r="J2268" t="s">
        <v>563</v>
      </c>
      <c r="K2268" t="s">
        <v>56</v>
      </c>
      <c r="L2268" t="s">
        <v>5711</v>
      </c>
      <c r="M2268" s="3" t="str">
        <f>HYPERLINK("..\..\Imagery\ScannedPhotos\1995\VN95-006.2.jpg")</f>
        <v>..\..\Imagery\ScannedPhotos\1995\VN95-006.2.jpg</v>
      </c>
    </row>
    <row r="2269" spans="1:13" x14ac:dyDescent="0.25">
      <c r="A2269" t="s">
        <v>5709</v>
      </c>
      <c r="B2269">
        <v>431385</v>
      </c>
      <c r="C2269">
        <v>5882438</v>
      </c>
      <c r="D2269">
        <v>21</v>
      </c>
      <c r="E2269" t="s">
        <v>15</v>
      </c>
      <c r="F2269" t="s">
        <v>5712</v>
      </c>
      <c r="G2269">
        <v>2</v>
      </c>
      <c r="H2269" t="s">
        <v>1251</v>
      </c>
      <c r="I2269" t="s">
        <v>281</v>
      </c>
      <c r="J2269" t="s">
        <v>563</v>
      </c>
      <c r="K2269" t="s">
        <v>56</v>
      </c>
      <c r="L2269" t="s">
        <v>5713</v>
      </c>
      <c r="M2269" s="3" t="str">
        <f>HYPERLINK("..\..\Imagery\ScannedPhotos\1995\VN95-006.1.jpg")</f>
        <v>..\..\Imagery\ScannedPhotos\1995\VN95-006.1.jpg</v>
      </c>
    </row>
    <row r="2270" spans="1:13" x14ac:dyDescent="0.25">
      <c r="A2270" t="s">
        <v>5714</v>
      </c>
      <c r="B2270">
        <v>421017</v>
      </c>
      <c r="C2270">
        <v>5890825</v>
      </c>
      <c r="D2270">
        <v>21</v>
      </c>
      <c r="E2270" t="s">
        <v>15</v>
      </c>
      <c r="F2270" t="s">
        <v>5715</v>
      </c>
      <c r="G2270">
        <v>3</v>
      </c>
      <c r="H2270" t="s">
        <v>1251</v>
      </c>
      <c r="I2270" t="s">
        <v>18</v>
      </c>
      <c r="J2270" t="s">
        <v>563</v>
      </c>
      <c r="K2270" t="s">
        <v>20</v>
      </c>
      <c r="L2270" t="s">
        <v>5716</v>
      </c>
      <c r="M2270" s="3" t="str">
        <f>HYPERLINK("..\..\Imagery\ScannedPhotos\1995\VN95-008.1.jpg")</f>
        <v>..\..\Imagery\ScannedPhotos\1995\VN95-008.1.jpg</v>
      </c>
    </row>
    <row r="2271" spans="1:13" x14ac:dyDescent="0.25">
      <c r="A2271" t="s">
        <v>5714</v>
      </c>
      <c r="B2271">
        <v>421017</v>
      </c>
      <c r="C2271">
        <v>5890825</v>
      </c>
      <c r="D2271">
        <v>21</v>
      </c>
      <c r="E2271" t="s">
        <v>15</v>
      </c>
      <c r="F2271" t="s">
        <v>5717</v>
      </c>
      <c r="G2271">
        <v>3</v>
      </c>
      <c r="H2271" t="s">
        <v>1251</v>
      </c>
      <c r="I2271" t="s">
        <v>35</v>
      </c>
      <c r="J2271" t="s">
        <v>563</v>
      </c>
      <c r="K2271" t="s">
        <v>20</v>
      </c>
      <c r="L2271" t="s">
        <v>5718</v>
      </c>
      <c r="M2271" s="3" t="str">
        <f>HYPERLINK("..\..\Imagery\ScannedPhotos\1995\VN95-008.2.jpg")</f>
        <v>..\..\Imagery\ScannedPhotos\1995\VN95-008.2.jpg</v>
      </c>
    </row>
    <row r="2272" spans="1:13" x14ac:dyDescent="0.25">
      <c r="A2272" t="s">
        <v>5714</v>
      </c>
      <c r="B2272">
        <v>421017</v>
      </c>
      <c r="C2272">
        <v>5890825</v>
      </c>
      <c r="D2272">
        <v>21</v>
      </c>
      <c r="E2272" t="s">
        <v>15</v>
      </c>
      <c r="F2272" t="s">
        <v>5719</v>
      </c>
      <c r="G2272">
        <v>3</v>
      </c>
      <c r="H2272" t="s">
        <v>1251</v>
      </c>
      <c r="I2272" t="s">
        <v>69</v>
      </c>
      <c r="J2272" t="s">
        <v>563</v>
      </c>
      <c r="K2272" t="s">
        <v>20</v>
      </c>
      <c r="L2272" t="s">
        <v>5718</v>
      </c>
      <c r="M2272" s="3" t="str">
        <f>HYPERLINK("..\..\Imagery\ScannedPhotos\1995\VN95-008.3.jpg")</f>
        <v>..\..\Imagery\ScannedPhotos\1995\VN95-008.3.jpg</v>
      </c>
    </row>
    <row r="2273" spans="1:13" x14ac:dyDescent="0.25">
      <c r="A2273" t="s">
        <v>5720</v>
      </c>
      <c r="B2273">
        <v>497088</v>
      </c>
      <c r="C2273">
        <v>5867894</v>
      </c>
      <c r="D2273">
        <v>21</v>
      </c>
      <c r="E2273" t="s">
        <v>15</v>
      </c>
      <c r="F2273" t="s">
        <v>5721</v>
      </c>
      <c r="G2273">
        <v>2</v>
      </c>
      <c r="H2273" t="s">
        <v>3330</v>
      </c>
      <c r="I2273" t="s">
        <v>108</v>
      </c>
      <c r="J2273" t="s">
        <v>850</v>
      </c>
      <c r="K2273" t="s">
        <v>20</v>
      </c>
      <c r="L2273" t="s">
        <v>5722</v>
      </c>
      <c r="M2273" s="3" t="str">
        <f>HYPERLINK("..\..\Imagery\ScannedPhotos\1991\DD91-016.2.jpg")</f>
        <v>..\..\Imagery\ScannedPhotos\1991\DD91-016.2.jpg</v>
      </c>
    </row>
    <row r="2274" spans="1:13" x14ac:dyDescent="0.25">
      <c r="A2274" t="s">
        <v>5723</v>
      </c>
      <c r="B2274">
        <v>498733</v>
      </c>
      <c r="C2274">
        <v>5867447</v>
      </c>
      <c r="D2274">
        <v>21</v>
      </c>
      <c r="E2274" t="s">
        <v>15</v>
      </c>
      <c r="F2274" t="s">
        <v>5724</v>
      </c>
      <c r="G2274">
        <v>2</v>
      </c>
      <c r="H2274" t="s">
        <v>3330</v>
      </c>
      <c r="I2274" t="s">
        <v>132</v>
      </c>
      <c r="J2274" t="s">
        <v>850</v>
      </c>
      <c r="K2274" t="s">
        <v>20</v>
      </c>
      <c r="L2274" t="s">
        <v>4682</v>
      </c>
      <c r="M2274" s="3" t="str">
        <f>HYPERLINK("..\..\Imagery\ScannedPhotos\1991\DD91-017.1.jpg")</f>
        <v>..\..\Imagery\ScannedPhotos\1991\DD91-017.1.jpg</v>
      </c>
    </row>
    <row r="2275" spans="1:13" x14ac:dyDescent="0.25">
      <c r="A2275" t="s">
        <v>5723</v>
      </c>
      <c r="B2275">
        <v>498733</v>
      </c>
      <c r="C2275">
        <v>5867447</v>
      </c>
      <c r="D2275">
        <v>21</v>
      </c>
      <c r="E2275" t="s">
        <v>15</v>
      </c>
      <c r="F2275" t="s">
        <v>5725</v>
      </c>
      <c r="G2275">
        <v>2</v>
      </c>
      <c r="H2275" t="s">
        <v>3330</v>
      </c>
      <c r="I2275" t="s">
        <v>129</v>
      </c>
      <c r="J2275" t="s">
        <v>850</v>
      </c>
      <c r="K2275" t="s">
        <v>20</v>
      </c>
      <c r="L2275" t="s">
        <v>4682</v>
      </c>
      <c r="M2275" s="3" t="str">
        <f>HYPERLINK("..\..\Imagery\ScannedPhotos\1991\DD91-017.2.jpg")</f>
        <v>..\..\Imagery\ScannedPhotos\1991\DD91-017.2.jpg</v>
      </c>
    </row>
    <row r="2276" spans="1:13" x14ac:dyDescent="0.25">
      <c r="A2276" t="s">
        <v>5726</v>
      </c>
      <c r="B2276">
        <v>499317</v>
      </c>
      <c r="C2276">
        <v>5866762</v>
      </c>
      <c r="D2276">
        <v>21</v>
      </c>
      <c r="E2276" t="s">
        <v>15</v>
      </c>
      <c r="F2276" t="s">
        <v>5727</v>
      </c>
      <c r="G2276">
        <v>1</v>
      </c>
      <c r="H2276" t="s">
        <v>3330</v>
      </c>
      <c r="I2276" t="s">
        <v>143</v>
      </c>
      <c r="J2276" t="s">
        <v>850</v>
      </c>
      <c r="K2276" t="s">
        <v>56</v>
      </c>
      <c r="L2276" t="s">
        <v>5728</v>
      </c>
      <c r="M2276" s="3" t="str">
        <f>HYPERLINK("..\..\Imagery\ScannedPhotos\1991\DD91-018.jpg")</f>
        <v>..\..\Imagery\ScannedPhotos\1991\DD91-018.jpg</v>
      </c>
    </row>
    <row r="2277" spans="1:13" x14ac:dyDescent="0.25">
      <c r="A2277" t="s">
        <v>1070</v>
      </c>
      <c r="B2277">
        <v>496425</v>
      </c>
      <c r="C2277">
        <v>5860025</v>
      </c>
      <c r="D2277">
        <v>21</v>
      </c>
      <c r="E2277" t="s">
        <v>15</v>
      </c>
      <c r="F2277" t="s">
        <v>5729</v>
      </c>
      <c r="G2277">
        <v>6</v>
      </c>
      <c r="H2277" t="s">
        <v>616</v>
      </c>
      <c r="I2277" t="s">
        <v>360</v>
      </c>
      <c r="J2277" t="s">
        <v>413</v>
      </c>
      <c r="K2277" t="s">
        <v>20</v>
      </c>
      <c r="L2277" t="s">
        <v>2638</v>
      </c>
      <c r="M2277" s="3" t="str">
        <f>HYPERLINK("..\..\Imagery\ScannedPhotos\1991\DD91-037.6.jpg")</f>
        <v>..\..\Imagery\ScannedPhotos\1991\DD91-037.6.jpg</v>
      </c>
    </row>
    <row r="2278" spans="1:13" x14ac:dyDescent="0.25">
      <c r="A2278" t="s">
        <v>5730</v>
      </c>
      <c r="B2278">
        <v>447030</v>
      </c>
      <c r="C2278">
        <v>5993358</v>
      </c>
      <c r="D2278">
        <v>21</v>
      </c>
      <c r="E2278" t="s">
        <v>15</v>
      </c>
      <c r="F2278" t="s">
        <v>5731</v>
      </c>
      <c r="G2278">
        <v>1</v>
      </c>
      <c r="H2278" t="s">
        <v>2967</v>
      </c>
      <c r="I2278" t="s">
        <v>122</v>
      </c>
      <c r="J2278" t="s">
        <v>2968</v>
      </c>
      <c r="K2278" t="s">
        <v>20</v>
      </c>
      <c r="L2278" t="s">
        <v>5732</v>
      </c>
      <c r="M2278" s="3" t="str">
        <f>HYPERLINK("..\..\Imagery\ScannedPhotos\1980\RG80-107.jpg")</f>
        <v>..\..\Imagery\ScannedPhotos\1980\RG80-107.jpg</v>
      </c>
    </row>
    <row r="2279" spans="1:13" x14ac:dyDescent="0.25">
      <c r="A2279" t="s">
        <v>5733</v>
      </c>
      <c r="B2279">
        <v>526270</v>
      </c>
      <c r="C2279">
        <v>5746704</v>
      </c>
      <c r="D2279">
        <v>21</v>
      </c>
      <c r="E2279" t="s">
        <v>15</v>
      </c>
      <c r="F2279" t="s">
        <v>5734</v>
      </c>
      <c r="G2279">
        <v>2</v>
      </c>
      <c r="H2279" t="s">
        <v>869</v>
      </c>
      <c r="I2279" t="s">
        <v>137</v>
      </c>
      <c r="J2279" t="s">
        <v>870</v>
      </c>
      <c r="K2279" t="s">
        <v>56</v>
      </c>
      <c r="L2279" t="s">
        <v>5735</v>
      </c>
      <c r="M2279" s="3" t="str">
        <f>HYPERLINK("..\..\Imagery\ScannedPhotos\1993\VN93-596.2.jpg")</f>
        <v>..\..\Imagery\ScannedPhotos\1993\VN93-596.2.jpg</v>
      </c>
    </row>
    <row r="2280" spans="1:13" x14ac:dyDescent="0.25">
      <c r="A2280" t="s">
        <v>5736</v>
      </c>
      <c r="B2280">
        <v>526568</v>
      </c>
      <c r="C2280">
        <v>5746729</v>
      </c>
      <c r="D2280">
        <v>21</v>
      </c>
      <c r="E2280" t="s">
        <v>15</v>
      </c>
      <c r="F2280" t="s">
        <v>5737</v>
      </c>
      <c r="G2280">
        <v>2</v>
      </c>
      <c r="H2280" t="s">
        <v>869</v>
      </c>
      <c r="I2280" t="s">
        <v>18</v>
      </c>
      <c r="J2280" t="s">
        <v>870</v>
      </c>
      <c r="K2280" t="s">
        <v>20</v>
      </c>
      <c r="L2280" t="s">
        <v>5738</v>
      </c>
      <c r="M2280" s="3" t="str">
        <f>HYPERLINK("..\..\Imagery\ScannedPhotos\1993\VN93-597.1.jpg")</f>
        <v>..\..\Imagery\ScannedPhotos\1993\VN93-597.1.jpg</v>
      </c>
    </row>
    <row r="2281" spans="1:13" x14ac:dyDescent="0.25">
      <c r="A2281" t="s">
        <v>5736</v>
      </c>
      <c r="B2281">
        <v>526568</v>
      </c>
      <c r="C2281">
        <v>5746729</v>
      </c>
      <c r="D2281">
        <v>21</v>
      </c>
      <c r="E2281" t="s">
        <v>15</v>
      </c>
      <c r="F2281" t="s">
        <v>5739</v>
      </c>
      <c r="G2281">
        <v>2</v>
      </c>
      <c r="H2281" t="s">
        <v>869</v>
      </c>
      <c r="I2281" t="s">
        <v>35</v>
      </c>
      <c r="J2281" t="s">
        <v>870</v>
      </c>
      <c r="K2281" t="s">
        <v>20</v>
      </c>
      <c r="L2281" t="s">
        <v>5738</v>
      </c>
      <c r="M2281" s="3" t="str">
        <f>HYPERLINK("..\..\Imagery\ScannedPhotos\1993\VN93-597.2.jpg")</f>
        <v>..\..\Imagery\ScannedPhotos\1993\VN93-597.2.jpg</v>
      </c>
    </row>
    <row r="2282" spans="1:13" x14ac:dyDescent="0.25">
      <c r="A2282" t="s">
        <v>5740</v>
      </c>
      <c r="B2282">
        <v>527708</v>
      </c>
      <c r="C2282">
        <v>5746841</v>
      </c>
      <c r="D2282">
        <v>21</v>
      </c>
      <c r="E2282" t="s">
        <v>15</v>
      </c>
      <c r="F2282" t="s">
        <v>5741</v>
      </c>
      <c r="G2282">
        <v>2</v>
      </c>
      <c r="H2282" t="s">
        <v>869</v>
      </c>
      <c r="I2282" t="s">
        <v>74</v>
      </c>
      <c r="J2282" t="s">
        <v>870</v>
      </c>
      <c r="K2282" t="s">
        <v>20</v>
      </c>
      <c r="L2282" t="s">
        <v>5742</v>
      </c>
      <c r="M2282" s="3" t="str">
        <f>HYPERLINK("..\..\Imagery\ScannedPhotos\1993\VN93-600.1.jpg")</f>
        <v>..\..\Imagery\ScannedPhotos\1993\VN93-600.1.jpg</v>
      </c>
    </row>
    <row r="2283" spans="1:13" x14ac:dyDescent="0.25">
      <c r="A2283" t="s">
        <v>5740</v>
      </c>
      <c r="B2283">
        <v>527708</v>
      </c>
      <c r="C2283">
        <v>5746841</v>
      </c>
      <c r="D2283">
        <v>21</v>
      </c>
      <c r="E2283" t="s">
        <v>15</v>
      </c>
      <c r="F2283" t="s">
        <v>5743</v>
      </c>
      <c r="G2283">
        <v>2</v>
      </c>
      <c r="H2283" t="s">
        <v>869</v>
      </c>
      <c r="I2283" t="s">
        <v>41</v>
      </c>
      <c r="J2283" t="s">
        <v>870</v>
      </c>
      <c r="K2283" t="s">
        <v>20</v>
      </c>
      <c r="L2283" t="s">
        <v>5744</v>
      </c>
      <c r="M2283" s="3" t="str">
        <f>HYPERLINK("..\..\Imagery\ScannedPhotos\1993\VN93-600.2.jpg")</f>
        <v>..\..\Imagery\ScannedPhotos\1993\VN93-600.2.jpg</v>
      </c>
    </row>
    <row r="2284" spans="1:13" x14ac:dyDescent="0.25">
      <c r="A2284" t="s">
        <v>4144</v>
      </c>
      <c r="B2284">
        <v>527982</v>
      </c>
      <c r="C2284">
        <v>5746844</v>
      </c>
      <c r="D2284">
        <v>21</v>
      </c>
      <c r="E2284" t="s">
        <v>15</v>
      </c>
      <c r="F2284" t="s">
        <v>5745</v>
      </c>
      <c r="G2284">
        <v>2</v>
      </c>
      <c r="H2284" t="s">
        <v>869</v>
      </c>
      <c r="I2284" t="s">
        <v>85</v>
      </c>
      <c r="J2284" t="s">
        <v>870</v>
      </c>
      <c r="K2284" t="s">
        <v>20</v>
      </c>
      <c r="L2284" t="s">
        <v>5746</v>
      </c>
      <c r="M2284" s="3" t="str">
        <f>HYPERLINK("..\..\Imagery\ScannedPhotos\1993\VN93-601.1.jpg")</f>
        <v>..\..\Imagery\ScannedPhotos\1993\VN93-601.1.jpg</v>
      </c>
    </row>
    <row r="2285" spans="1:13" x14ac:dyDescent="0.25">
      <c r="A2285" t="s">
        <v>5747</v>
      </c>
      <c r="B2285">
        <v>575062</v>
      </c>
      <c r="C2285">
        <v>5756108</v>
      </c>
      <c r="D2285">
        <v>21</v>
      </c>
      <c r="E2285" t="s">
        <v>15</v>
      </c>
      <c r="F2285" t="s">
        <v>5748</v>
      </c>
      <c r="G2285">
        <v>3</v>
      </c>
      <c r="H2285" t="s">
        <v>984</v>
      </c>
      <c r="I2285" t="s">
        <v>209</v>
      </c>
      <c r="J2285" t="s">
        <v>985</v>
      </c>
      <c r="K2285" t="s">
        <v>20</v>
      </c>
      <c r="L2285" t="s">
        <v>5749</v>
      </c>
      <c r="M2285" s="3" t="str">
        <f>HYPERLINK("..\..\Imagery\ScannedPhotos\1993\VN93-660.3.jpg")</f>
        <v>..\..\Imagery\ScannedPhotos\1993\VN93-660.3.jpg</v>
      </c>
    </row>
    <row r="2286" spans="1:13" x14ac:dyDescent="0.25">
      <c r="A2286" t="s">
        <v>533</v>
      </c>
      <c r="B2286">
        <v>575358</v>
      </c>
      <c r="C2286">
        <v>5756555</v>
      </c>
      <c r="D2286">
        <v>21</v>
      </c>
      <c r="E2286" t="s">
        <v>15</v>
      </c>
      <c r="F2286" t="s">
        <v>5750</v>
      </c>
      <c r="G2286">
        <v>13</v>
      </c>
      <c r="H2286" t="s">
        <v>984</v>
      </c>
      <c r="I2286" t="s">
        <v>375</v>
      </c>
      <c r="J2286" t="s">
        <v>985</v>
      </c>
      <c r="K2286" t="s">
        <v>20</v>
      </c>
      <c r="L2286" t="s">
        <v>5751</v>
      </c>
      <c r="M2286" s="3" t="str">
        <f>HYPERLINK("..\..\Imagery\ScannedPhotos\1993\VN93-661.2.jpg")</f>
        <v>..\..\Imagery\ScannedPhotos\1993\VN93-661.2.jpg</v>
      </c>
    </row>
    <row r="2287" spans="1:13" x14ac:dyDescent="0.25">
      <c r="A2287" t="s">
        <v>533</v>
      </c>
      <c r="B2287">
        <v>575358</v>
      </c>
      <c r="C2287">
        <v>5756555</v>
      </c>
      <c r="D2287">
        <v>21</v>
      </c>
      <c r="E2287" t="s">
        <v>15</v>
      </c>
      <c r="F2287" t="s">
        <v>5752</v>
      </c>
      <c r="G2287">
        <v>13</v>
      </c>
      <c r="H2287" t="s">
        <v>984</v>
      </c>
      <c r="I2287" t="s">
        <v>85</v>
      </c>
      <c r="J2287" t="s">
        <v>985</v>
      </c>
      <c r="K2287" t="s">
        <v>20</v>
      </c>
      <c r="L2287" t="s">
        <v>5751</v>
      </c>
      <c r="M2287" s="3" t="str">
        <f>HYPERLINK("..\..\Imagery\ScannedPhotos\1993\VN93-661.1.jpg")</f>
        <v>..\..\Imagery\ScannedPhotos\1993\VN93-661.1.jpg</v>
      </c>
    </row>
    <row r="2288" spans="1:13" x14ac:dyDescent="0.25">
      <c r="A2288" t="s">
        <v>523</v>
      </c>
      <c r="B2288">
        <v>575599</v>
      </c>
      <c r="C2288">
        <v>5756653</v>
      </c>
      <c r="D2288">
        <v>21</v>
      </c>
      <c r="E2288" t="s">
        <v>15</v>
      </c>
      <c r="F2288" t="s">
        <v>5753</v>
      </c>
      <c r="G2288">
        <v>16</v>
      </c>
      <c r="H2288" t="s">
        <v>984</v>
      </c>
      <c r="I2288" t="s">
        <v>35</v>
      </c>
      <c r="J2288" t="s">
        <v>985</v>
      </c>
      <c r="K2288" t="s">
        <v>20</v>
      </c>
      <c r="L2288" t="s">
        <v>5754</v>
      </c>
      <c r="M2288" s="3" t="str">
        <f>HYPERLINK("..\..\Imagery\ScannedPhotos\1993\VN93-662.7.jpg")</f>
        <v>..\..\Imagery\ScannedPhotos\1993\VN93-662.7.jpg</v>
      </c>
    </row>
    <row r="2289" spans="1:13" x14ac:dyDescent="0.25">
      <c r="A2289" t="s">
        <v>5755</v>
      </c>
      <c r="B2289">
        <v>509059</v>
      </c>
      <c r="C2289">
        <v>5851166</v>
      </c>
      <c r="D2289">
        <v>21</v>
      </c>
      <c r="E2289" t="s">
        <v>15</v>
      </c>
      <c r="F2289" t="s">
        <v>5756</v>
      </c>
      <c r="G2289">
        <v>1</v>
      </c>
      <c r="H2289" t="s">
        <v>1232</v>
      </c>
      <c r="I2289" t="s">
        <v>18</v>
      </c>
      <c r="J2289" t="s">
        <v>1233</v>
      </c>
      <c r="K2289" t="s">
        <v>20</v>
      </c>
      <c r="L2289" t="s">
        <v>5757</v>
      </c>
      <c r="M2289" s="3" t="str">
        <f>HYPERLINK("..\..\Imagery\ScannedPhotos\1986\CG86-195.jpg")</f>
        <v>..\..\Imagery\ScannedPhotos\1986\CG86-195.jpg</v>
      </c>
    </row>
    <row r="2290" spans="1:13" x14ac:dyDescent="0.25">
      <c r="A2290" t="s">
        <v>5758</v>
      </c>
      <c r="B2290">
        <v>480167</v>
      </c>
      <c r="C2290">
        <v>5903123</v>
      </c>
      <c r="D2290">
        <v>21</v>
      </c>
      <c r="E2290" t="s">
        <v>15</v>
      </c>
      <c r="F2290" t="s">
        <v>5759</v>
      </c>
      <c r="G2290">
        <v>5</v>
      </c>
      <c r="H2290" t="s">
        <v>2895</v>
      </c>
      <c r="I2290" t="s">
        <v>119</v>
      </c>
      <c r="J2290" t="s">
        <v>2896</v>
      </c>
      <c r="K2290" t="s">
        <v>56</v>
      </c>
      <c r="L2290" t="s">
        <v>5760</v>
      </c>
      <c r="M2290" s="3" t="str">
        <f>HYPERLINK("..\..\Imagery\ScannedPhotos\1984\CG84-381.4.jpg")</f>
        <v>..\..\Imagery\ScannedPhotos\1984\CG84-381.4.jpg</v>
      </c>
    </row>
    <row r="2291" spans="1:13" x14ac:dyDescent="0.25">
      <c r="A2291" t="s">
        <v>5758</v>
      </c>
      <c r="B2291">
        <v>480167</v>
      </c>
      <c r="C2291">
        <v>5903123</v>
      </c>
      <c r="D2291">
        <v>21</v>
      </c>
      <c r="E2291" t="s">
        <v>15</v>
      </c>
      <c r="F2291" t="s">
        <v>5761</v>
      </c>
      <c r="G2291">
        <v>5</v>
      </c>
      <c r="H2291" t="s">
        <v>2895</v>
      </c>
      <c r="I2291" t="s">
        <v>122</v>
      </c>
      <c r="J2291" t="s">
        <v>2896</v>
      </c>
      <c r="K2291" t="s">
        <v>20</v>
      </c>
      <c r="L2291" t="s">
        <v>5762</v>
      </c>
      <c r="M2291" s="3" t="str">
        <f>HYPERLINK("..\..\Imagery\ScannedPhotos\1984\CG84-381.5.jpg")</f>
        <v>..\..\Imagery\ScannedPhotos\1984\CG84-381.5.jpg</v>
      </c>
    </row>
    <row r="2292" spans="1:13" x14ac:dyDescent="0.25">
      <c r="A2292" t="s">
        <v>5763</v>
      </c>
      <c r="B2292">
        <v>464900</v>
      </c>
      <c r="C2292">
        <v>5886580</v>
      </c>
      <c r="D2292">
        <v>21</v>
      </c>
      <c r="E2292" t="s">
        <v>15</v>
      </c>
      <c r="F2292" t="s">
        <v>5764</v>
      </c>
      <c r="G2292">
        <v>1</v>
      </c>
      <c r="H2292" t="s">
        <v>2895</v>
      </c>
      <c r="I2292" t="s">
        <v>126</v>
      </c>
      <c r="J2292" t="s">
        <v>2896</v>
      </c>
      <c r="K2292" t="s">
        <v>20</v>
      </c>
      <c r="L2292" t="s">
        <v>5765</v>
      </c>
      <c r="M2292" s="3" t="str">
        <f>HYPERLINK("..\..\Imagery\ScannedPhotos\1984\CG84-400.jpg")</f>
        <v>..\..\Imagery\ScannedPhotos\1984\CG84-400.jpg</v>
      </c>
    </row>
    <row r="2293" spans="1:13" x14ac:dyDescent="0.25">
      <c r="A2293" t="s">
        <v>5766</v>
      </c>
      <c r="B2293">
        <v>467307</v>
      </c>
      <c r="C2293">
        <v>5910250</v>
      </c>
      <c r="D2293">
        <v>21</v>
      </c>
      <c r="E2293" t="s">
        <v>15</v>
      </c>
      <c r="F2293" t="s">
        <v>5767</v>
      </c>
      <c r="G2293">
        <v>1</v>
      </c>
      <c r="H2293" t="s">
        <v>2895</v>
      </c>
      <c r="I2293" t="s">
        <v>132</v>
      </c>
      <c r="J2293" t="s">
        <v>2896</v>
      </c>
      <c r="K2293" t="s">
        <v>20</v>
      </c>
      <c r="L2293" t="s">
        <v>5768</v>
      </c>
      <c r="M2293" s="3" t="str">
        <f>HYPERLINK("..\..\Imagery\ScannedPhotos\1984\CG84-415.jpg")</f>
        <v>..\..\Imagery\ScannedPhotos\1984\CG84-415.jpg</v>
      </c>
    </row>
    <row r="2294" spans="1:13" x14ac:dyDescent="0.25">
      <c r="A2294" t="s">
        <v>32</v>
      </c>
      <c r="B2294">
        <v>596446</v>
      </c>
      <c r="C2294">
        <v>5792950</v>
      </c>
      <c r="D2294">
        <v>21</v>
      </c>
      <c r="E2294" t="s">
        <v>15</v>
      </c>
      <c r="F2294" t="s">
        <v>5769</v>
      </c>
      <c r="G2294">
        <v>40</v>
      </c>
      <c r="H2294" t="s">
        <v>34</v>
      </c>
      <c r="I2294" t="s">
        <v>222</v>
      </c>
      <c r="J2294" t="s">
        <v>36</v>
      </c>
      <c r="K2294" t="s">
        <v>20</v>
      </c>
      <c r="L2294" t="s">
        <v>5770</v>
      </c>
      <c r="M2294" s="3" t="str">
        <f>HYPERLINK("..\..\Imagery\ScannedPhotos\1987\CG87-488.19.jpg")</f>
        <v>..\..\Imagery\ScannedPhotos\1987\CG87-488.19.jpg</v>
      </c>
    </row>
    <row r="2295" spans="1:13" x14ac:dyDescent="0.25">
      <c r="A2295" t="s">
        <v>3499</v>
      </c>
      <c r="B2295">
        <v>362936</v>
      </c>
      <c r="C2295">
        <v>5895594</v>
      </c>
      <c r="D2295">
        <v>21</v>
      </c>
      <c r="E2295" t="s">
        <v>15</v>
      </c>
      <c r="F2295" t="s">
        <v>5771</v>
      </c>
      <c r="G2295">
        <v>7</v>
      </c>
      <c r="K2295" t="s">
        <v>109</v>
      </c>
      <c r="L2295" t="s">
        <v>3501</v>
      </c>
      <c r="M2295" s="3" t="str">
        <f>HYPERLINK("..\..\Imagery\ScannedPhotos\2007\CG07-110.4.jpg")</f>
        <v>..\..\Imagery\ScannedPhotos\2007\CG07-110.4.jpg</v>
      </c>
    </row>
    <row r="2296" spans="1:13" x14ac:dyDescent="0.25">
      <c r="A2296" t="s">
        <v>3499</v>
      </c>
      <c r="B2296">
        <v>362936</v>
      </c>
      <c r="C2296">
        <v>5895594</v>
      </c>
      <c r="D2296">
        <v>21</v>
      </c>
      <c r="E2296" t="s">
        <v>15</v>
      </c>
      <c r="F2296" t="s">
        <v>5772</v>
      </c>
      <c r="G2296">
        <v>7</v>
      </c>
      <c r="K2296" t="s">
        <v>109</v>
      </c>
      <c r="L2296" t="s">
        <v>3501</v>
      </c>
      <c r="M2296" s="3" t="str">
        <f>HYPERLINK("..\..\Imagery\ScannedPhotos\2007\CG07-110.5.jpg")</f>
        <v>..\..\Imagery\ScannedPhotos\2007\CG07-110.5.jpg</v>
      </c>
    </row>
    <row r="2297" spans="1:13" x14ac:dyDescent="0.25">
      <c r="A2297" t="s">
        <v>843</v>
      </c>
      <c r="B2297">
        <v>400849</v>
      </c>
      <c r="C2297">
        <v>5943539</v>
      </c>
      <c r="D2297">
        <v>21</v>
      </c>
      <c r="E2297" t="s">
        <v>15</v>
      </c>
      <c r="F2297" t="s">
        <v>5773</v>
      </c>
      <c r="G2297">
        <v>3</v>
      </c>
      <c r="H2297" t="s">
        <v>845</v>
      </c>
      <c r="I2297" t="s">
        <v>222</v>
      </c>
      <c r="J2297" t="s">
        <v>48</v>
      </c>
      <c r="K2297" t="s">
        <v>20</v>
      </c>
      <c r="L2297" t="s">
        <v>5774</v>
      </c>
      <c r="M2297" s="3" t="str">
        <f>HYPERLINK("..\..\Imagery\ScannedPhotos\1981\CG81-593.1.jpg")</f>
        <v>..\..\Imagery\ScannedPhotos\1981\CG81-593.1.jpg</v>
      </c>
    </row>
    <row r="2298" spans="1:13" x14ac:dyDescent="0.25">
      <c r="A2298" t="s">
        <v>859</v>
      </c>
      <c r="B2298">
        <v>480915</v>
      </c>
      <c r="C2298">
        <v>5931165</v>
      </c>
      <c r="D2298">
        <v>21</v>
      </c>
      <c r="E2298" t="s">
        <v>15</v>
      </c>
      <c r="F2298" t="s">
        <v>5775</v>
      </c>
      <c r="G2298">
        <v>10</v>
      </c>
      <c r="H2298" t="s">
        <v>17</v>
      </c>
      <c r="I2298" t="s">
        <v>94</v>
      </c>
      <c r="J2298" t="s">
        <v>19</v>
      </c>
      <c r="K2298" t="s">
        <v>20</v>
      </c>
      <c r="L2298" t="s">
        <v>5776</v>
      </c>
      <c r="M2298" s="3" t="str">
        <f>HYPERLINK("..\..\Imagery\ScannedPhotos\1984\CG84-436.7.jpg")</f>
        <v>..\..\Imagery\ScannedPhotos\1984\CG84-436.7.jpg</v>
      </c>
    </row>
    <row r="2299" spans="1:13" x14ac:dyDescent="0.25">
      <c r="A2299" t="s">
        <v>859</v>
      </c>
      <c r="B2299">
        <v>480915</v>
      </c>
      <c r="C2299">
        <v>5931165</v>
      </c>
      <c r="D2299">
        <v>21</v>
      </c>
      <c r="E2299" t="s">
        <v>15</v>
      </c>
      <c r="F2299" t="s">
        <v>5777</v>
      </c>
      <c r="G2299">
        <v>10</v>
      </c>
      <c r="H2299" t="s">
        <v>201</v>
      </c>
      <c r="I2299" t="s">
        <v>132</v>
      </c>
      <c r="J2299" t="s">
        <v>202</v>
      </c>
      <c r="K2299" t="s">
        <v>20</v>
      </c>
      <c r="L2299" t="s">
        <v>4444</v>
      </c>
      <c r="M2299" s="3" t="str">
        <f>HYPERLINK("..\..\Imagery\ScannedPhotos\1984\CG84-436.2.jpg")</f>
        <v>..\..\Imagery\ScannedPhotos\1984\CG84-436.2.jpg</v>
      </c>
    </row>
    <row r="2300" spans="1:13" x14ac:dyDescent="0.25">
      <c r="A2300" t="s">
        <v>1135</v>
      </c>
      <c r="B2300">
        <v>400197</v>
      </c>
      <c r="C2300">
        <v>5938014</v>
      </c>
      <c r="D2300">
        <v>21</v>
      </c>
      <c r="E2300" t="s">
        <v>15</v>
      </c>
      <c r="F2300" t="s">
        <v>5778</v>
      </c>
      <c r="G2300">
        <v>3</v>
      </c>
      <c r="H2300" t="s">
        <v>46</v>
      </c>
      <c r="I2300" t="s">
        <v>129</v>
      </c>
      <c r="J2300" t="s">
        <v>48</v>
      </c>
      <c r="K2300" t="s">
        <v>20</v>
      </c>
      <c r="L2300" t="s">
        <v>1137</v>
      </c>
      <c r="M2300" s="3" t="str">
        <f>HYPERLINK("..\..\Imagery\ScannedPhotos\1981\GF81-167.1.jpg")</f>
        <v>..\..\Imagery\ScannedPhotos\1981\GF81-167.1.jpg</v>
      </c>
    </row>
    <row r="2301" spans="1:13" x14ac:dyDescent="0.25">
      <c r="A2301" t="s">
        <v>5779</v>
      </c>
      <c r="B2301">
        <v>434106</v>
      </c>
      <c r="C2301">
        <v>5867166</v>
      </c>
      <c r="D2301">
        <v>21</v>
      </c>
      <c r="E2301" t="s">
        <v>15</v>
      </c>
      <c r="F2301" t="s">
        <v>5780</v>
      </c>
      <c r="G2301">
        <v>2</v>
      </c>
      <c r="H2301" t="s">
        <v>2521</v>
      </c>
      <c r="I2301" t="s">
        <v>126</v>
      </c>
      <c r="J2301" t="s">
        <v>2522</v>
      </c>
      <c r="K2301" t="s">
        <v>20</v>
      </c>
      <c r="L2301" t="s">
        <v>4646</v>
      </c>
      <c r="M2301" s="3" t="str">
        <f>HYPERLINK("..\..\Imagery\ScannedPhotos\1991\VN91-423.2.jpg")</f>
        <v>..\..\Imagery\ScannedPhotos\1991\VN91-423.2.jpg</v>
      </c>
    </row>
    <row r="2302" spans="1:13" x14ac:dyDescent="0.25">
      <c r="A2302" t="s">
        <v>5781</v>
      </c>
      <c r="B2302">
        <v>528047</v>
      </c>
      <c r="C2302">
        <v>5950215</v>
      </c>
      <c r="D2302">
        <v>21</v>
      </c>
      <c r="E2302" t="s">
        <v>15</v>
      </c>
      <c r="F2302" t="s">
        <v>5782</v>
      </c>
      <c r="G2302">
        <v>1</v>
      </c>
      <c r="H2302" t="s">
        <v>221</v>
      </c>
      <c r="I2302" t="s">
        <v>132</v>
      </c>
      <c r="J2302" t="s">
        <v>48</v>
      </c>
      <c r="K2302" t="s">
        <v>20</v>
      </c>
      <c r="L2302" t="s">
        <v>5783</v>
      </c>
      <c r="M2302" s="3" t="str">
        <f>HYPERLINK("..\..\Imagery\ScannedPhotos\1981\CG81-381.jpg")</f>
        <v>..\..\Imagery\ScannedPhotos\1981\CG81-381.jpg</v>
      </c>
    </row>
    <row r="2303" spans="1:13" x14ac:dyDescent="0.25">
      <c r="A2303" t="s">
        <v>5784</v>
      </c>
      <c r="B2303">
        <v>528026</v>
      </c>
      <c r="C2303">
        <v>5949673</v>
      </c>
      <c r="D2303">
        <v>21</v>
      </c>
      <c r="E2303" t="s">
        <v>15</v>
      </c>
      <c r="F2303" t="s">
        <v>5785</v>
      </c>
      <c r="G2303">
        <v>1</v>
      </c>
      <c r="H2303" t="s">
        <v>221</v>
      </c>
      <c r="I2303" t="s">
        <v>129</v>
      </c>
      <c r="J2303" t="s">
        <v>48</v>
      </c>
      <c r="K2303" t="s">
        <v>20</v>
      </c>
      <c r="L2303" t="s">
        <v>5786</v>
      </c>
      <c r="M2303" s="3" t="str">
        <f>HYPERLINK("..\..\Imagery\ScannedPhotos\1981\CG81-383.jpg")</f>
        <v>..\..\Imagery\ScannedPhotos\1981\CG81-383.jpg</v>
      </c>
    </row>
    <row r="2304" spans="1:13" x14ac:dyDescent="0.25">
      <c r="A2304" t="s">
        <v>5787</v>
      </c>
      <c r="B2304">
        <v>475200</v>
      </c>
      <c r="C2304">
        <v>5852800</v>
      </c>
      <c r="D2304">
        <v>21</v>
      </c>
      <c r="E2304" t="s">
        <v>15</v>
      </c>
      <c r="F2304" t="s">
        <v>5788</v>
      </c>
      <c r="G2304">
        <v>1</v>
      </c>
      <c r="H2304" t="s">
        <v>890</v>
      </c>
      <c r="I2304" t="s">
        <v>52</v>
      </c>
      <c r="J2304" t="s">
        <v>891</v>
      </c>
      <c r="K2304" t="s">
        <v>20</v>
      </c>
      <c r="L2304" t="s">
        <v>5789</v>
      </c>
      <c r="M2304" s="3" t="str">
        <f>HYPERLINK("..\..\Imagery\ScannedPhotos\1991\VN91-248.jpg")</f>
        <v>..\..\Imagery\ScannedPhotos\1991\VN91-248.jpg</v>
      </c>
    </row>
    <row r="2305" spans="1:13" x14ac:dyDescent="0.25">
      <c r="A2305" t="s">
        <v>5790</v>
      </c>
      <c r="B2305">
        <v>536966</v>
      </c>
      <c r="C2305">
        <v>5931978</v>
      </c>
      <c r="D2305">
        <v>21</v>
      </c>
      <c r="E2305" t="s">
        <v>15</v>
      </c>
      <c r="F2305" t="s">
        <v>5791</v>
      </c>
      <c r="G2305">
        <v>2</v>
      </c>
      <c r="H2305" t="s">
        <v>5792</v>
      </c>
      <c r="I2305" t="s">
        <v>281</v>
      </c>
      <c r="J2305" t="s">
        <v>48</v>
      </c>
      <c r="K2305" t="s">
        <v>20</v>
      </c>
      <c r="L2305" t="s">
        <v>5793</v>
      </c>
      <c r="M2305" s="3" t="str">
        <f>HYPERLINK("..\..\Imagery\ScannedPhotos\1981\VO81-364.2.jpg")</f>
        <v>..\..\Imagery\ScannedPhotos\1981\VO81-364.2.jpg</v>
      </c>
    </row>
    <row r="2306" spans="1:13" x14ac:dyDescent="0.25">
      <c r="A2306" t="s">
        <v>5790</v>
      </c>
      <c r="B2306">
        <v>536966</v>
      </c>
      <c r="C2306">
        <v>5931978</v>
      </c>
      <c r="D2306">
        <v>21</v>
      </c>
      <c r="E2306" t="s">
        <v>15</v>
      </c>
      <c r="F2306" t="s">
        <v>5794</v>
      </c>
      <c r="G2306">
        <v>2</v>
      </c>
      <c r="H2306" t="s">
        <v>5792</v>
      </c>
      <c r="I2306" t="s">
        <v>79</v>
      </c>
      <c r="J2306" t="s">
        <v>48</v>
      </c>
      <c r="K2306" t="s">
        <v>20</v>
      </c>
      <c r="L2306" t="s">
        <v>5793</v>
      </c>
      <c r="M2306" s="3" t="str">
        <f>HYPERLINK("..\..\Imagery\ScannedPhotos\1981\VO81-364.1.jpg")</f>
        <v>..\..\Imagery\ScannedPhotos\1981\VO81-364.1.jpg</v>
      </c>
    </row>
    <row r="2307" spans="1:13" x14ac:dyDescent="0.25">
      <c r="A2307" t="s">
        <v>5795</v>
      </c>
      <c r="B2307">
        <v>499553</v>
      </c>
      <c r="C2307">
        <v>5928067</v>
      </c>
      <c r="D2307">
        <v>21</v>
      </c>
      <c r="E2307" t="s">
        <v>15</v>
      </c>
      <c r="F2307" t="s">
        <v>5796</v>
      </c>
      <c r="G2307">
        <v>1</v>
      </c>
      <c r="H2307" t="s">
        <v>5792</v>
      </c>
      <c r="I2307" t="s">
        <v>647</v>
      </c>
      <c r="J2307" t="s">
        <v>48</v>
      </c>
      <c r="K2307" t="s">
        <v>56</v>
      </c>
      <c r="L2307" t="s">
        <v>5797</v>
      </c>
      <c r="M2307" s="3" t="str">
        <f>HYPERLINK("..\..\Imagery\ScannedPhotos\1981\VO81-457.jpg")</f>
        <v>..\..\Imagery\ScannedPhotos\1981\VO81-457.jpg</v>
      </c>
    </row>
    <row r="2308" spans="1:13" x14ac:dyDescent="0.25">
      <c r="A2308" t="s">
        <v>5798</v>
      </c>
      <c r="B2308">
        <v>439961</v>
      </c>
      <c r="C2308">
        <v>5937286</v>
      </c>
      <c r="D2308">
        <v>21</v>
      </c>
      <c r="E2308" t="s">
        <v>15</v>
      </c>
      <c r="F2308" t="s">
        <v>5799</v>
      </c>
      <c r="G2308">
        <v>1</v>
      </c>
      <c r="H2308" t="s">
        <v>5792</v>
      </c>
      <c r="I2308" t="s">
        <v>30</v>
      </c>
      <c r="J2308" t="s">
        <v>48</v>
      </c>
      <c r="K2308" t="s">
        <v>20</v>
      </c>
      <c r="L2308" t="s">
        <v>5800</v>
      </c>
      <c r="M2308" s="3" t="str">
        <f>HYPERLINK("..\..\Imagery\ScannedPhotos\1981\VO81-458.jpg")</f>
        <v>..\..\Imagery\ScannedPhotos\1981\VO81-458.jpg</v>
      </c>
    </row>
    <row r="2309" spans="1:13" x14ac:dyDescent="0.25">
      <c r="A2309" t="s">
        <v>5801</v>
      </c>
      <c r="B2309">
        <v>439335</v>
      </c>
      <c r="C2309">
        <v>5938077</v>
      </c>
      <c r="D2309">
        <v>21</v>
      </c>
      <c r="E2309" t="s">
        <v>15</v>
      </c>
      <c r="F2309" t="s">
        <v>5802</v>
      </c>
      <c r="G2309">
        <v>1</v>
      </c>
      <c r="H2309" t="s">
        <v>5792</v>
      </c>
      <c r="I2309" t="s">
        <v>119</v>
      </c>
      <c r="J2309" t="s">
        <v>48</v>
      </c>
      <c r="K2309" t="s">
        <v>20</v>
      </c>
      <c r="L2309" t="s">
        <v>5803</v>
      </c>
      <c r="M2309" s="3" t="str">
        <f>HYPERLINK("..\..\Imagery\ScannedPhotos\1981\VO81-459.jpg")</f>
        <v>..\..\Imagery\ScannedPhotos\1981\VO81-459.jpg</v>
      </c>
    </row>
    <row r="2310" spans="1:13" x14ac:dyDescent="0.25">
      <c r="A2310" t="s">
        <v>970</v>
      </c>
      <c r="B2310">
        <v>442431</v>
      </c>
      <c r="C2310">
        <v>5995299</v>
      </c>
      <c r="D2310">
        <v>21</v>
      </c>
      <c r="E2310" t="s">
        <v>15</v>
      </c>
      <c r="F2310" t="s">
        <v>5804</v>
      </c>
      <c r="G2310">
        <v>13</v>
      </c>
      <c r="H2310" t="s">
        <v>972</v>
      </c>
      <c r="I2310" t="s">
        <v>18</v>
      </c>
      <c r="J2310" t="s">
        <v>807</v>
      </c>
      <c r="K2310" t="s">
        <v>20</v>
      </c>
      <c r="L2310" t="s">
        <v>973</v>
      </c>
      <c r="M2310" s="3" t="str">
        <f>HYPERLINK("..\..\Imagery\ScannedPhotos\1980\RG80-133.5.jpg")</f>
        <v>..\..\Imagery\ScannedPhotos\1980\RG80-133.5.jpg</v>
      </c>
    </row>
    <row r="2311" spans="1:13" x14ac:dyDescent="0.25">
      <c r="A2311" t="s">
        <v>5805</v>
      </c>
      <c r="B2311">
        <v>434544</v>
      </c>
      <c r="C2311">
        <v>5997181</v>
      </c>
      <c r="D2311">
        <v>21</v>
      </c>
      <c r="E2311" t="s">
        <v>15</v>
      </c>
      <c r="F2311" t="s">
        <v>5806</v>
      </c>
      <c r="G2311">
        <v>1</v>
      </c>
      <c r="H2311" t="s">
        <v>972</v>
      </c>
      <c r="I2311" t="s">
        <v>209</v>
      </c>
      <c r="J2311" t="s">
        <v>807</v>
      </c>
      <c r="K2311" t="s">
        <v>20</v>
      </c>
      <c r="L2311" t="s">
        <v>5807</v>
      </c>
      <c r="M2311" s="3" t="str">
        <f>HYPERLINK("..\..\Imagery\ScannedPhotos\1980\RG80-135.jpg")</f>
        <v>..\..\Imagery\ScannedPhotos\1980\RG80-135.jpg</v>
      </c>
    </row>
    <row r="2312" spans="1:13" x14ac:dyDescent="0.25">
      <c r="A2312" t="s">
        <v>3372</v>
      </c>
      <c r="B2312">
        <v>430108</v>
      </c>
      <c r="C2312">
        <v>6009696</v>
      </c>
      <c r="D2312">
        <v>21</v>
      </c>
      <c r="E2312" t="s">
        <v>15</v>
      </c>
      <c r="F2312" t="s">
        <v>5808</v>
      </c>
      <c r="G2312">
        <v>2</v>
      </c>
      <c r="H2312" t="s">
        <v>1006</v>
      </c>
      <c r="I2312" t="s">
        <v>85</v>
      </c>
      <c r="J2312" t="s">
        <v>652</v>
      </c>
      <c r="K2312" t="s">
        <v>20</v>
      </c>
      <c r="L2312" t="s">
        <v>5809</v>
      </c>
      <c r="M2312" s="3" t="str">
        <f>HYPERLINK("..\..\Imagery\ScannedPhotos\1980\CG80-050.1.jpg")</f>
        <v>..\..\Imagery\ScannedPhotos\1980\CG80-050.1.jpg</v>
      </c>
    </row>
    <row r="2313" spans="1:13" x14ac:dyDescent="0.25">
      <c r="A2313" t="s">
        <v>5810</v>
      </c>
      <c r="B2313">
        <v>354203</v>
      </c>
      <c r="C2313">
        <v>5787740</v>
      </c>
      <c r="D2313">
        <v>21</v>
      </c>
      <c r="E2313" t="s">
        <v>15</v>
      </c>
      <c r="F2313" t="s">
        <v>5811</v>
      </c>
      <c r="G2313">
        <v>3</v>
      </c>
      <c r="H2313" t="s">
        <v>2236</v>
      </c>
      <c r="I2313" t="s">
        <v>119</v>
      </c>
      <c r="J2313" t="s">
        <v>80</v>
      </c>
      <c r="K2313" t="s">
        <v>20</v>
      </c>
      <c r="L2313" t="s">
        <v>5812</v>
      </c>
      <c r="M2313" s="3" t="str">
        <f>HYPERLINK("..\..\Imagery\ScannedPhotos\2000\CG00-284.2.jpg")</f>
        <v>..\..\Imagery\ScannedPhotos\2000\CG00-284.2.jpg</v>
      </c>
    </row>
    <row r="2314" spans="1:13" x14ac:dyDescent="0.25">
      <c r="A2314" t="s">
        <v>5810</v>
      </c>
      <c r="B2314">
        <v>354203</v>
      </c>
      <c r="C2314">
        <v>5787740</v>
      </c>
      <c r="D2314">
        <v>21</v>
      </c>
      <c r="E2314" t="s">
        <v>15</v>
      </c>
      <c r="F2314" t="s">
        <v>5813</v>
      </c>
      <c r="G2314">
        <v>3</v>
      </c>
      <c r="H2314" t="s">
        <v>2236</v>
      </c>
      <c r="I2314" t="s">
        <v>122</v>
      </c>
      <c r="J2314" t="s">
        <v>80</v>
      </c>
      <c r="K2314" t="s">
        <v>20</v>
      </c>
      <c r="L2314" t="s">
        <v>5812</v>
      </c>
      <c r="M2314" s="3" t="str">
        <f>HYPERLINK("..\..\Imagery\ScannedPhotos\2000\CG00-284.3.jpg")</f>
        <v>..\..\Imagery\ScannedPhotos\2000\CG00-284.3.jpg</v>
      </c>
    </row>
    <row r="2315" spans="1:13" x14ac:dyDescent="0.25">
      <c r="A2315" t="s">
        <v>5814</v>
      </c>
      <c r="B2315">
        <v>579798</v>
      </c>
      <c r="C2315">
        <v>5764153</v>
      </c>
      <c r="D2315">
        <v>21</v>
      </c>
      <c r="E2315" t="s">
        <v>15</v>
      </c>
      <c r="F2315" t="s">
        <v>5815</v>
      </c>
      <c r="G2315">
        <v>3</v>
      </c>
      <c r="H2315" t="s">
        <v>2916</v>
      </c>
      <c r="I2315" t="s">
        <v>122</v>
      </c>
      <c r="J2315" t="s">
        <v>797</v>
      </c>
      <c r="K2315" t="s">
        <v>20</v>
      </c>
      <c r="L2315" t="s">
        <v>5816</v>
      </c>
      <c r="M2315" s="3" t="str">
        <f>HYPERLINK("..\..\Imagery\ScannedPhotos\1987\VN87-328.2.jpg")</f>
        <v>..\..\Imagery\ScannedPhotos\1987\VN87-328.2.jpg</v>
      </c>
    </row>
    <row r="2316" spans="1:13" x14ac:dyDescent="0.25">
      <c r="A2316" t="s">
        <v>5817</v>
      </c>
      <c r="B2316">
        <v>489700</v>
      </c>
      <c r="C2316">
        <v>5968000</v>
      </c>
      <c r="D2316">
        <v>21</v>
      </c>
      <c r="E2316" t="s">
        <v>15</v>
      </c>
      <c r="F2316" t="s">
        <v>5818</v>
      </c>
      <c r="G2316">
        <v>1</v>
      </c>
      <c r="H2316" t="s">
        <v>2733</v>
      </c>
      <c r="I2316" t="s">
        <v>47</v>
      </c>
      <c r="J2316" t="s">
        <v>814</v>
      </c>
      <c r="K2316" t="s">
        <v>228</v>
      </c>
      <c r="L2316" t="s">
        <v>5819</v>
      </c>
      <c r="M2316" s="3" t="str">
        <f>HYPERLINK("..\..\Imagery\ScannedPhotos\1981\GF81-023.jpg")</f>
        <v>..\..\Imagery\ScannedPhotos\1981\GF81-023.jpg</v>
      </c>
    </row>
    <row r="2317" spans="1:13" x14ac:dyDescent="0.25">
      <c r="A2317" t="s">
        <v>5820</v>
      </c>
      <c r="B2317">
        <v>517849</v>
      </c>
      <c r="C2317">
        <v>5953854</v>
      </c>
      <c r="D2317">
        <v>21</v>
      </c>
      <c r="E2317" t="s">
        <v>15</v>
      </c>
      <c r="F2317" t="s">
        <v>5821</v>
      </c>
      <c r="G2317">
        <v>6</v>
      </c>
      <c r="H2317" t="s">
        <v>4724</v>
      </c>
      <c r="I2317" t="s">
        <v>85</v>
      </c>
      <c r="J2317" t="s">
        <v>48</v>
      </c>
      <c r="K2317" t="s">
        <v>20</v>
      </c>
      <c r="L2317" t="s">
        <v>5822</v>
      </c>
      <c r="M2317" s="3" t="str">
        <f>HYPERLINK("..\..\Imagery\ScannedPhotos\1981\VO81-548.1.jpg")</f>
        <v>..\..\Imagery\ScannedPhotos\1981\VO81-548.1.jpg</v>
      </c>
    </row>
    <row r="2318" spans="1:13" x14ac:dyDescent="0.25">
      <c r="A2318" t="s">
        <v>5820</v>
      </c>
      <c r="B2318">
        <v>517849</v>
      </c>
      <c r="C2318">
        <v>5953854</v>
      </c>
      <c r="D2318">
        <v>21</v>
      </c>
      <c r="E2318" t="s">
        <v>15</v>
      </c>
      <c r="F2318" t="s">
        <v>5823</v>
      </c>
      <c r="G2318">
        <v>6</v>
      </c>
      <c r="H2318" t="s">
        <v>4724</v>
      </c>
      <c r="I2318" t="s">
        <v>94</v>
      </c>
      <c r="J2318" t="s">
        <v>48</v>
      </c>
      <c r="K2318" t="s">
        <v>20</v>
      </c>
      <c r="L2318" t="s">
        <v>5824</v>
      </c>
      <c r="M2318" s="3" t="str">
        <f>HYPERLINK("..\..\Imagery\ScannedPhotos\1981\VO81-548.3.jpg")</f>
        <v>..\..\Imagery\ScannedPhotos\1981\VO81-548.3.jpg</v>
      </c>
    </row>
    <row r="2319" spans="1:13" x14ac:dyDescent="0.25">
      <c r="A2319" t="s">
        <v>5820</v>
      </c>
      <c r="B2319">
        <v>517849</v>
      </c>
      <c r="C2319">
        <v>5953854</v>
      </c>
      <c r="D2319">
        <v>21</v>
      </c>
      <c r="E2319" t="s">
        <v>15</v>
      </c>
      <c r="F2319" t="s">
        <v>5825</v>
      </c>
      <c r="G2319">
        <v>6</v>
      </c>
      <c r="H2319" t="s">
        <v>4724</v>
      </c>
      <c r="I2319" t="s">
        <v>209</v>
      </c>
      <c r="J2319" t="s">
        <v>48</v>
      </c>
      <c r="K2319" t="s">
        <v>20</v>
      </c>
      <c r="L2319" t="s">
        <v>5826</v>
      </c>
      <c r="M2319" s="3" t="str">
        <f>HYPERLINK("..\..\Imagery\ScannedPhotos\1981\VO81-548.4.jpg")</f>
        <v>..\..\Imagery\ScannedPhotos\1981\VO81-548.4.jpg</v>
      </c>
    </row>
    <row r="2320" spans="1:13" x14ac:dyDescent="0.25">
      <c r="A2320" t="s">
        <v>5820</v>
      </c>
      <c r="B2320">
        <v>517849</v>
      </c>
      <c r="C2320">
        <v>5953854</v>
      </c>
      <c r="D2320">
        <v>21</v>
      </c>
      <c r="E2320" t="s">
        <v>15</v>
      </c>
      <c r="F2320" t="s">
        <v>5827</v>
      </c>
      <c r="G2320">
        <v>6</v>
      </c>
      <c r="H2320" t="s">
        <v>4724</v>
      </c>
      <c r="I2320" t="s">
        <v>386</v>
      </c>
      <c r="J2320" t="s">
        <v>48</v>
      </c>
      <c r="K2320" t="s">
        <v>20</v>
      </c>
      <c r="L2320" t="s">
        <v>4021</v>
      </c>
      <c r="M2320" s="3" t="str">
        <f>HYPERLINK("..\..\Imagery\ScannedPhotos\1981\VO81-548.5.jpg")</f>
        <v>..\..\Imagery\ScannedPhotos\1981\VO81-548.5.jpg</v>
      </c>
    </row>
    <row r="2321" spans="1:13" x14ac:dyDescent="0.25">
      <c r="A2321" t="s">
        <v>5820</v>
      </c>
      <c r="B2321">
        <v>517849</v>
      </c>
      <c r="C2321">
        <v>5953854</v>
      </c>
      <c r="D2321">
        <v>21</v>
      </c>
      <c r="E2321" t="s">
        <v>15</v>
      </c>
      <c r="F2321" t="s">
        <v>5828</v>
      </c>
      <c r="G2321">
        <v>6</v>
      </c>
      <c r="H2321" t="s">
        <v>4724</v>
      </c>
      <c r="I2321" t="s">
        <v>217</v>
      </c>
      <c r="J2321" t="s">
        <v>48</v>
      </c>
      <c r="K2321" t="s">
        <v>20</v>
      </c>
      <c r="L2321" t="s">
        <v>5829</v>
      </c>
      <c r="M2321" s="3" t="str">
        <f>HYPERLINK("..\..\Imagery\ScannedPhotos\1981\VO81-548.6.jpg")</f>
        <v>..\..\Imagery\ScannedPhotos\1981\VO81-548.6.jpg</v>
      </c>
    </row>
    <row r="2322" spans="1:13" x14ac:dyDescent="0.25">
      <c r="A2322" t="s">
        <v>5820</v>
      </c>
      <c r="B2322">
        <v>517849</v>
      </c>
      <c r="C2322">
        <v>5953854</v>
      </c>
      <c r="D2322">
        <v>21</v>
      </c>
      <c r="E2322" t="s">
        <v>15</v>
      </c>
      <c r="F2322" t="s">
        <v>5830</v>
      </c>
      <c r="G2322">
        <v>6</v>
      </c>
      <c r="H2322" t="s">
        <v>4724</v>
      </c>
      <c r="I2322" t="s">
        <v>375</v>
      </c>
      <c r="J2322" t="s">
        <v>48</v>
      </c>
      <c r="K2322" t="s">
        <v>20</v>
      </c>
      <c r="L2322" t="s">
        <v>5824</v>
      </c>
      <c r="M2322" s="3" t="str">
        <f>HYPERLINK("..\..\Imagery\ScannedPhotos\1981\VO81-548.2.jpg")</f>
        <v>..\..\Imagery\ScannedPhotos\1981\VO81-548.2.jpg</v>
      </c>
    </row>
    <row r="2323" spans="1:13" x14ac:dyDescent="0.25">
      <c r="A2323" t="s">
        <v>5831</v>
      </c>
      <c r="B2323">
        <v>335351</v>
      </c>
      <c r="C2323">
        <v>5830064</v>
      </c>
      <c r="D2323">
        <v>21</v>
      </c>
      <c r="E2323" t="s">
        <v>15</v>
      </c>
      <c r="F2323" t="s">
        <v>5832</v>
      </c>
      <c r="G2323">
        <v>1</v>
      </c>
      <c r="H2323" t="s">
        <v>5833</v>
      </c>
      <c r="I2323" t="s">
        <v>195</v>
      </c>
      <c r="J2323" t="s">
        <v>260</v>
      </c>
      <c r="K2323" t="s">
        <v>56</v>
      </c>
      <c r="L2323" t="s">
        <v>5834</v>
      </c>
      <c r="M2323" s="3" t="str">
        <f>HYPERLINK("..\..\Imagery\ScannedPhotos\1998\CG98-219.jpg")</f>
        <v>..\..\Imagery\ScannedPhotos\1998\CG98-219.jpg</v>
      </c>
    </row>
    <row r="2324" spans="1:13" x14ac:dyDescent="0.25">
      <c r="A2324" t="s">
        <v>5835</v>
      </c>
      <c r="B2324">
        <v>333740</v>
      </c>
      <c r="C2324">
        <v>5827323</v>
      </c>
      <c r="D2324">
        <v>21</v>
      </c>
      <c r="E2324" t="s">
        <v>15</v>
      </c>
      <c r="F2324" t="s">
        <v>5836</v>
      </c>
      <c r="G2324">
        <v>1</v>
      </c>
      <c r="H2324" t="s">
        <v>5833</v>
      </c>
      <c r="I2324" t="s">
        <v>25</v>
      </c>
      <c r="J2324" t="s">
        <v>260</v>
      </c>
      <c r="K2324" t="s">
        <v>20</v>
      </c>
      <c r="L2324" t="s">
        <v>5837</v>
      </c>
      <c r="M2324" s="3" t="str">
        <f>HYPERLINK("..\..\Imagery\ScannedPhotos\1998\CG98-220.jpg")</f>
        <v>..\..\Imagery\ScannedPhotos\1998\CG98-220.jpg</v>
      </c>
    </row>
    <row r="2325" spans="1:13" x14ac:dyDescent="0.25">
      <c r="A2325" t="s">
        <v>5838</v>
      </c>
      <c r="B2325">
        <v>298685</v>
      </c>
      <c r="C2325">
        <v>5855284</v>
      </c>
      <c r="D2325">
        <v>21</v>
      </c>
      <c r="E2325" t="s">
        <v>15</v>
      </c>
      <c r="F2325" t="s">
        <v>5839</v>
      </c>
      <c r="G2325">
        <v>1</v>
      </c>
      <c r="H2325" t="s">
        <v>5833</v>
      </c>
      <c r="I2325" t="s">
        <v>360</v>
      </c>
      <c r="J2325" t="s">
        <v>260</v>
      </c>
      <c r="K2325" t="s">
        <v>56</v>
      </c>
      <c r="L2325" t="s">
        <v>5840</v>
      </c>
      <c r="M2325" s="3" t="str">
        <f>HYPERLINK("..\..\Imagery\ScannedPhotos\1998\CG98-229.jpg")</f>
        <v>..\..\Imagery\ScannedPhotos\1998\CG98-229.jpg</v>
      </c>
    </row>
    <row r="2326" spans="1:13" x14ac:dyDescent="0.25">
      <c r="A2326" t="s">
        <v>5841</v>
      </c>
      <c r="B2326">
        <v>304214</v>
      </c>
      <c r="C2326">
        <v>5854871</v>
      </c>
      <c r="D2326">
        <v>21</v>
      </c>
      <c r="E2326" t="s">
        <v>15</v>
      </c>
      <c r="F2326" t="s">
        <v>5842</v>
      </c>
      <c r="G2326">
        <v>1</v>
      </c>
      <c r="H2326" t="s">
        <v>5833</v>
      </c>
      <c r="I2326" t="s">
        <v>647</v>
      </c>
      <c r="J2326" t="s">
        <v>260</v>
      </c>
      <c r="K2326" t="s">
        <v>56</v>
      </c>
      <c r="L2326" t="s">
        <v>5843</v>
      </c>
      <c r="M2326" s="3" t="str">
        <f>HYPERLINK("..\..\Imagery\ScannedPhotos\1998\CG98-232.jpg")</f>
        <v>..\..\Imagery\ScannedPhotos\1998\CG98-232.jpg</v>
      </c>
    </row>
    <row r="2327" spans="1:13" x14ac:dyDescent="0.25">
      <c r="A2327" t="s">
        <v>5283</v>
      </c>
      <c r="B2327">
        <v>563965</v>
      </c>
      <c r="C2327">
        <v>5846109</v>
      </c>
      <c r="D2327">
        <v>21</v>
      </c>
      <c r="E2327" t="s">
        <v>15</v>
      </c>
      <c r="F2327" t="s">
        <v>5844</v>
      </c>
      <c r="G2327">
        <v>2</v>
      </c>
      <c r="H2327" t="s">
        <v>3162</v>
      </c>
      <c r="I2327" t="s">
        <v>386</v>
      </c>
      <c r="J2327" t="s">
        <v>3163</v>
      </c>
      <c r="K2327" t="s">
        <v>20</v>
      </c>
      <c r="L2327" t="s">
        <v>5285</v>
      </c>
      <c r="M2327" s="3" t="str">
        <f>HYPERLINK("..\..\Imagery\ScannedPhotos\1986\SN86-340.2.jpg")</f>
        <v>..\..\Imagery\ScannedPhotos\1986\SN86-340.2.jpg</v>
      </c>
    </row>
    <row r="2328" spans="1:13" x14ac:dyDescent="0.25">
      <c r="A2328" t="s">
        <v>32</v>
      </c>
      <c r="B2328">
        <v>596446</v>
      </c>
      <c r="C2328">
        <v>5792950</v>
      </c>
      <c r="D2328">
        <v>21</v>
      </c>
      <c r="E2328" t="s">
        <v>15</v>
      </c>
      <c r="F2328" t="s">
        <v>5845</v>
      </c>
      <c r="G2328">
        <v>40</v>
      </c>
      <c r="H2328" t="s">
        <v>34</v>
      </c>
      <c r="I2328" t="s">
        <v>195</v>
      </c>
      <c r="J2328" t="s">
        <v>36</v>
      </c>
      <c r="K2328" t="s">
        <v>56</v>
      </c>
      <c r="L2328" t="s">
        <v>5770</v>
      </c>
      <c r="M2328" s="3" t="str">
        <f>HYPERLINK("..\..\Imagery\ScannedPhotos\1987\CG87-488.22.jpg")</f>
        <v>..\..\Imagery\ScannedPhotos\1987\CG87-488.22.jpg</v>
      </c>
    </row>
    <row r="2329" spans="1:13" x14ac:dyDescent="0.25">
      <c r="A2329" t="s">
        <v>32</v>
      </c>
      <c r="B2329">
        <v>596446</v>
      </c>
      <c r="C2329">
        <v>5792950</v>
      </c>
      <c r="D2329">
        <v>21</v>
      </c>
      <c r="E2329" t="s">
        <v>15</v>
      </c>
      <c r="F2329" t="s">
        <v>5846</v>
      </c>
      <c r="G2329">
        <v>40</v>
      </c>
      <c r="H2329" t="s">
        <v>34</v>
      </c>
      <c r="I2329" t="s">
        <v>418</v>
      </c>
      <c r="J2329" t="s">
        <v>36</v>
      </c>
      <c r="K2329" t="s">
        <v>20</v>
      </c>
      <c r="L2329" t="s">
        <v>5847</v>
      </c>
      <c r="M2329" s="3" t="str">
        <f>HYPERLINK("..\..\Imagery\ScannedPhotos\1987\CG87-488.20.jpg")</f>
        <v>..\..\Imagery\ScannedPhotos\1987\CG87-488.20.jpg</v>
      </c>
    </row>
    <row r="2330" spans="1:13" x14ac:dyDescent="0.25">
      <c r="A2330" t="s">
        <v>4606</v>
      </c>
      <c r="B2330">
        <v>575969</v>
      </c>
      <c r="C2330">
        <v>5851177</v>
      </c>
      <c r="D2330">
        <v>21</v>
      </c>
      <c r="E2330" t="s">
        <v>15</v>
      </c>
      <c r="F2330" t="s">
        <v>5848</v>
      </c>
      <c r="G2330">
        <v>2</v>
      </c>
      <c r="H2330" t="s">
        <v>2945</v>
      </c>
      <c r="I2330" t="s">
        <v>129</v>
      </c>
      <c r="J2330" t="s">
        <v>300</v>
      </c>
      <c r="K2330" t="s">
        <v>20</v>
      </c>
      <c r="L2330" t="s">
        <v>4608</v>
      </c>
      <c r="M2330" s="3" t="str">
        <f>HYPERLINK("..\..\Imagery\ScannedPhotos\1986\CG86-544.2.jpg")</f>
        <v>..\..\Imagery\ScannedPhotos\1986\CG86-544.2.jpg</v>
      </c>
    </row>
    <row r="2331" spans="1:13" x14ac:dyDescent="0.25">
      <c r="A2331" t="s">
        <v>3533</v>
      </c>
      <c r="B2331">
        <v>410757</v>
      </c>
      <c r="C2331">
        <v>5995738</v>
      </c>
      <c r="D2331">
        <v>21</v>
      </c>
      <c r="E2331" t="s">
        <v>15</v>
      </c>
      <c r="F2331" t="s">
        <v>5849</v>
      </c>
      <c r="G2331">
        <v>3</v>
      </c>
      <c r="H2331" t="s">
        <v>900</v>
      </c>
      <c r="I2331" t="s">
        <v>74</v>
      </c>
      <c r="J2331" t="s">
        <v>652</v>
      </c>
      <c r="K2331" t="s">
        <v>20</v>
      </c>
      <c r="L2331" t="s">
        <v>5850</v>
      </c>
      <c r="M2331" s="3" t="str">
        <f>HYPERLINK("..\..\Imagery\ScannedPhotos\1980\RG80-009.3.jpg")</f>
        <v>..\..\Imagery\ScannedPhotos\1980\RG80-009.3.jpg</v>
      </c>
    </row>
    <row r="2332" spans="1:13" x14ac:dyDescent="0.25">
      <c r="A2332" t="s">
        <v>5851</v>
      </c>
      <c r="B2332">
        <v>411759</v>
      </c>
      <c r="C2332">
        <v>6006890</v>
      </c>
      <c r="D2332">
        <v>21</v>
      </c>
      <c r="E2332" t="s">
        <v>15</v>
      </c>
      <c r="F2332" t="s">
        <v>5852</v>
      </c>
      <c r="G2332">
        <v>2</v>
      </c>
      <c r="H2332" t="s">
        <v>900</v>
      </c>
      <c r="I2332" t="s">
        <v>85</v>
      </c>
      <c r="J2332" t="s">
        <v>652</v>
      </c>
      <c r="K2332" t="s">
        <v>20</v>
      </c>
      <c r="L2332" t="s">
        <v>5853</v>
      </c>
      <c r="M2332" s="3" t="str">
        <f>HYPERLINK("..\..\Imagery\ScannedPhotos\1980\RG80-011.2.jpg")</f>
        <v>..\..\Imagery\ScannedPhotos\1980\RG80-011.2.jpg</v>
      </c>
    </row>
    <row r="2333" spans="1:13" x14ac:dyDescent="0.25">
      <c r="A2333" t="s">
        <v>5854</v>
      </c>
      <c r="B2333">
        <v>578445</v>
      </c>
      <c r="C2333">
        <v>5826798</v>
      </c>
      <c r="D2333">
        <v>21</v>
      </c>
      <c r="E2333" t="s">
        <v>15</v>
      </c>
      <c r="F2333" t="s">
        <v>5855</v>
      </c>
      <c r="G2333">
        <v>4</v>
      </c>
      <c r="H2333" t="s">
        <v>288</v>
      </c>
      <c r="I2333" t="s">
        <v>108</v>
      </c>
      <c r="J2333" t="s">
        <v>289</v>
      </c>
      <c r="K2333" t="s">
        <v>20</v>
      </c>
      <c r="L2333" t="s">
        <v>5856</v>
      </c>
      <c r="M2333" s="3" t="str">
        <f>HYPERLINK("..\..\Imagery\ScannedPhotos\1986\CG86-692.2.jpg")</f>
        <v>..\..\Imagery\ScannedPhotos\1986\CG86-692.2.jpg</v>
      </c>
    </row>
    <row r="2334" spans="1:13" x14ac:dyDescent="0.25">
      <c r="A2334" t="s">
        <v>5854</v>
      </c>
      <c r="B2334">
        <v>578445</v>
      </c>
      <c r="C2334">
        <v>5826798</v>
      </c>
      <c r="D2334">
        <v>21</v>
      </c>
      <c r="E2334" t="s">
        <v>15</v>
      </c>
      <c r="F2334" t="s">
        <v>5857</v>
      </c>
      <c r="G2334">
        <v>4</v>
      </c>
      <c r="H2334" t="s">
        <v>288</v>
      </c>
      <c r="I2334" t="s">
        <v>129</v>
      </c>
      <c r="J2334" t="s">
        <v>289</v>
      </c>
      <c r="K2334" t="s">
        <v>20</v>
      </c>
      <c r="L2334" t="s">
        <v>5858</v>
      </c>
      <c r="M2334" s="3" t="str">
        <f>HYPERLINK("..\..\Imagery\ScannedPhotos\1986\CG86-692.4.jpg")</f>
        <v>..\..\Imagery\ScannedPhotos\1986\CG86-692.4.jpg</v>
      </c>
    </row>
    <row r="2335" spans="1:13" x14ac:dyDescent="0.25">
      <c r="A2335" t="s">
        <v>1612</v>
      </c>
      <c r="B2335">
        <v>462216</v>
      </c>
      <c r="C2335">
        <v>5837217</v>
      </c>
      <c r="D2335">
        <v>21</v>
      </c>
      <c r="E2335" t="s">
        <v>15</v>
      </c>
      <c r="F2335" t="s">
        <v>5859</v>
      </c>
      <c r="G2335">
        <v>8</v>
      </c>
      <c r="H2335" t="s">
        <v>4733</v>
      </c>
      <c r="I2335" t="s">
        <v>74</v>
      </c>
      <c r="J2335" t="s">
        <v>5860</v>
      </c>
      <c r="K2335" t="s">
        <v>20</v>
      </c>
      <c r="L2335" t="s">
        <v>1045</v>
      </c>
      <c r="M2335" s="3" t="str">
        <f>HYPERLINK("..\..\Imagery\ScannedPhotos\1991\VN91-233.4.jpg")</f>
        <v>..\..\Imagery\ScannedPhotos\1991\VN91-233.4.jpg</v>
      </c>
    </row>
    <row r="2336" spans="1:13" x14ac:dyDescent="0.25">
      <c r="A2336" t="s">
        <v>987</v>
      </c>
      <c r="B2336">
        <v>403571</v>
      </c>
      <c r="C2336">
        <v>5921965</v>
      </c>
      <c r="D2336">
        <v>21</v>
      </c>
      <c r="E2336" t="s">
        <v>15</v>
      </c>
      <c r="F2336" t="s">
        <v>5861</v>
      </c>
      <c r="G2336">
        <v>2</v>
      </c>
      <c r="H2336" t="s">
        <v>562</v>
      </c>
      <c r="I2336" t="s">
        <v>209</v>
      </c>
      <c r="J2336" t="s">
        <v>563</v>
      </c>
      <c r="K2336" t="s">
        <v>20</v>
      </c>
      <c r="L2336" t="s">
        <v>989</v>
      </c>
      <c r="M2336" s="3" t="str">
        <f>HYPERLINK("..\..\Imagery\ScannedPhotos\1995\VN95-103.1.jpg")</f>
        <v>..\..\Imagery\ScannedPhotos\1995\VN95-103.1.jpg</v>
      </c>
    </row>
    <row r="2337" spans="1:13" x14ac:dyDescent="0.25">
      <c r="A2337" t="s">
        <v>5862</v>
      </c>
      <c r="B2337">
        <v>520820</v>
      </c>
      <c r="C2337">
        <v>5825233</v>
      </c>
      <c r="D2337">
        <v>21</v>
      </c>
      <c r="E2337" t="s">
        <v>15</v>
      </c>
      <c r="F2337" t="s">
        <v>5863</v>
      </c>
      <c r="G2337">
        <v>6</v>
      </c>
      <c r="H2337" t="s">
        <v>1851</v>
      </c>
      <c r="I2337" t="s">
        <v>74</v>
      </c>
      <c r="J2337" t="s">
        <v>1852</v>
      </c>
      <c r="K2337" t="s">
        <v>20</v>
      </c>
      <c r="L2337" t="s">
        <v>5864</v>
      </c>
      <c r="M2337" s="3" t="str">
        <f>HYPERLINK("..\..\Imagery\ScannedPhotos\1986\MN86-285.6.jpg")</f>
        <v>..\..\Imagery\ScannedPhotos\1986\MN86-285.6.jpg</v>
      </c>
    </row>
    <row r="2338" spans="1:13" x14ac:dyDescent="0.25">
      <c r="A2338" t="s">
        <v>5862</v>
      </c>
      <c r="B2338">
        <v>520820</v>
      </c>
      <c r="C2338">
        <v>5825233</v>
      </c>
      <c r="D2338">
        <v>21</v>
      </c>
      <c r="E2338" t="s">
        <v>15</v>
      </c>
      <c r="F2338" t="s">
        <v>5865</v>
      </c>
      <c r="G2338">
        <v>6</v>
      </c>
      <c r="H2338" t="s">
        <v>1851</v>
      </c>
      <c r="I2338" t="s">
        <v>35</v>
      </c>
      <c r="J2338" t="s">
        <v>1852</v>
      </c>
      <c r="K2338" t="s">
        <v>20</v>
      </c>
      <c r="L2338" t="s">
        <v>5866</v>
      </c>
      <c r="M2338" s="3" t="str">
        <f>HYPERLINK("..\..\Imagery\ScannedPhotos\1986\MN86-285.4.jpg")</f>
        <v>..\..\Imagery\ScannedPhotos\1986\MN86-285.4.jpg</v>
      </c>
    </row>
    <row r="2339" spans="1:13" x14ac:dyDescent="0.25">
      <c r="A2339" t="s">
        <v>5862</v>
      </c>
      <c r="B2339">
        <v>520820</v>
      </c>
      <c r="C2339">
        <v>5825233</v>
      </c>
      <c r="D2339">
        <v>21</v>
      </c>
      <c r="E2339" t="s">
        <v>15</v>
      </c>
      <c r="F2339" t="s">
        <v>5867</v>
      </c>
      <c r="G2339">
        <v>6</v>
      </c>
      <c r="H2339" t="s">
        <v>1851</v>
      </c>
      <c r="I2339" t="s">
        <v>69</v>
      </c>
      <c r="J2339" t="s">
        <v>1852</v>
      </c>
      <c r="K2339" t="s">
        <v>20</v>
      </c>
      <c r="L2339" t="s">
        <v>5868</v>
      </c>
      <c r="M2339" s="3" t="str">
        <f>HYPERLINK("..\..\Imagery\ScannedPhotos\1986\MN86-285.5.jpg")</f>
        <v>..\..\Imagery\ScannedPhotos\1986\MN86-285.5.jpg</v>
      </c>
    </row>
    <row r="2340" spans="1:13" x14ac:dyDescent="0.25">
      <c r="A2340" t="s">
        <v>5862</v>
      </c>
      <c r="B2340">
        <v>520820</v>
      </c>
      <c r="C2340">
        <v>5825233</v>
      </c>
      <c r="D2340">
        <v>21</v>
      </c>
      <c r="E2340" t="s">
        <v>15</v>
      </c>
      <c r="F2340" t="s">
        <v>5869</v>
      </c>
      <c r="G2340">
        <v>6</v>
      </c>
      <c r="H2340" t="s">
        <v>1851</v>
      </c>
      <c r="I2340" t="s">
        <v>137</v>
      </c>
      <c r="J2340" t="s">
        <v>1852</v>
      </c>
      <c r="K2340" t="s">
        <v>20</v>
      </c>
      <c r="L2340" t="s">
        <v>5870</v>
      </c>
      <c r="M2340" s="3" t="str">
        <f>HYPERLINK("..\..\Imagery\ScannedPhotos\1986\MN86-285.2.jpg")</f>
        <v>..\..\Imagery\ScannedPhotos\1986\MN86-285.2.jpg</v>
      </c>
    </row>
    <row r="2341" spans="1:13" x14ac:dyDescent="0.25">
      <c r="A2341" t="s">
        <v>5862</v>
      </c>
      <c r="B2341">
        <v>520820</v>
      </c>
      <c r="C2341">
        <v>5825233</v>
      </c>
      <c r="D2341">
        <v>21</v>
      </c>
      <c r="E2341" t="s">
        <v>15</v>
      </c>
      <c r="F2341" t="s">
        <v>5871</v>
      </c>
      <c r="G2341">
        <v>6</v>
      </c>
      <c r="H2341" t="s">
        <v>1851</v>
      </c>
      <c r="I2341" t="s">
        <v>18</v>
      </c>
      <c r="J2341" t="s">
        <v>1852</v>
      </c>
      <c r="K2341" t="s">
        <v>20</v>
      </c>
      <c r="L2341" t="s">
        <v>5872</v>
      </c>
      <c r="M2341" s="3" t="str">
        <f>HYPERLINK("..\..\Imagery\ScannedPhotos\1986\MN86-285.3.jpg")</f>
        <v>..\..\Imagery\ScannedPhotos\1986\MN86-285.3.jpg</v>
      </c>
    </row>
    <row r="2342" spans="1:13" x14ac:dyDescent="0.25">
      <c r="A2342" t="s">
        <v>5862</v>
      </c>
      <c r="B2342">
        <v>520820</v>
      </c>
      <c r="C2342">
        <v>5825233</v>
      </c>
      <c r="D2342">
        <v>21</v>
      </c>
      <c r="E2342" t="s">
        <v>15</v>
      </c>
      <c r="F2342" t="s">
        <v>5873</v>
      </c>
      <c r="G2342">
        <v>6</v>
      </c>
      <c r="H2342" t="s">
        <v>1851</v>
      </c>
      <c r="I2342" t="s">
        <v>281</v>
      </c>
      <c r="J2342" t="s">
        <v>1852</v>
      </c>
      <c r="K2342" t="s">
        <v>20</v>
      </c>
      <c r="L2342" t="s">
        <v>5874</v>
      </c>
      <c r="M2342" s="3" t="str">
        <f>HYPERLINK("..\..\Imagery\ScannedPhotos\1986\MN86-285.1.jpg")</f>
        <v>..\..\Imagery\ScannedPhotos\1986\MN86-285.1.jpg</v>
      </c>
    </row>
    <row r="2343" spans="1:13" x14ac:dyDescent="0.25">
      <c r="A2343" t="s">
        <v>5875</v>
      </c>
      <c r="B2343">
        <v>576511</v>
      </c>
      <c r="C2343">
        <v>5871410</v>
      </c>
      <c r="D2343">
        <v>21</v>
      </c>
      <c r="E2343" t="s">
        <v>15</v>
      </c>
      <c r="F2343" t="s">
        <v>5876</v>
      </c>
      <c r="G2343">
        <v>1</v>
      </c>
      <c r="H2343" t="s">
        <v>1851</v>
      </c>
      <c r="I2343" t="s">
        <v>41</v>
      </c>
      <c r="J2343" t="s">
        <v>1852</v>
      </c>
      <c r="K2343" t="s">
        <v>20</v>
      </c>
      <c r="L2343" t="s">
        <v>5877</v>
      </c>
      <c r="M2343" s="3" t="str">
        <f>HYPERLINK("..\..\Imagery\ScannedPhotos\1986\MN86-301.jpg")</f>
        <v>..\..\Imagery\ScannedPhotos\1986\MN86-301.jpg</v>
      </c>
    </row>
    <row r="2344" spans="1:13" x14ac:dyDescent="0.25">
      <c r="A2344" t="s">
        <v>5878</v>
      </c>
      <c r="B2344">
        <v>576042</v>
      </c>
      <c r="C2344">
        <v>5870770</v>
      </c>
      <c r="D2344">
        <v>21</v>
      </c>
      <c r="E2344" t="s">
        <v>15</v>
      </c>
      <c r="F2344" t="s">
        <v>5879</v>
      </c>
      <c r="G2344">
        <v>1</v>
      </c>
      <c r="H2344" t="s">
        <v>1851</v>
      </c>
      <c r="I2344" t="s">
        <v>85</v>
      </c>
      <c r="J2344" t="s">
        <v>1852</v>
      </c>
      <c r="K2344" t="s">
        <v>20</v>
      </c>
      <c r="L2344" t="s">
        <v>5880</v>
      </c>
      <c r="M2344" s="3" t="str">
        <f>HYPERLINK("..\..\Imagery\ScannedPhotos\1986\MN86-302.jpg")</f>
        <v>..\..\Imagery\ScannedPhotos\1986\MN86-302.jpg</v>
      </c>
    </row>
    <row r="2345" spans="1:13" x14ac:dyDescent="0.25">
      <c r="A2345" t="s">
        <v>5881</v>
      </c>
      <c r="B2345">
        <v>574538</v>
      </c>
      <c r="C2345">
        <v>5871144</v>
      </c>
      <c r="D2345">
        <v>21</v>
      </c>
      <c r="E2345" t="s">
        <v>15</v>
      </c>
      <c r="F2345" t="s">
        <v>5882</v>
      </c>
      <c r="G2345">
        <v>1</v>
      </c>
      <c r="H2345" t="s">
        <v>1851</v>
      </c>
      <c r="I2345" t="s">
        <v>94</v>
      </c>
      <c r="J2345" t="s">
        <v>1852</v>
      </c>
      <c r="K2345" t="s">
        <v>20</v>
      </c>
      <c r="L2345" t="s">
        <v>5883</v>
      </c>
      <c r="M2345" s="3" t="str">
        <f>HYPERLINK("..\..\Imagery\ScannedPhotos\1986\MN86-304.jpg")</f>
        <v>..\..\Imagery\ScannedPhotos\1986\MN86-304.jpg</v>
      </c>
    </row>
    <row r="2346" spans="1:13" x14ac:dyDescent="0.25">
      <c r="A2346" t="s">
        <v>5884</v>
      </c>
      <c r="B2346">
        <v>474130</v>
      </c>
      <c r="C2346">
        <v>5806220</v>
      </c>
      <c r="D2346">
        <v>21</v>
      </c>
      <c r="E2346" t="s">
        <v>15</v>
      </c>
      <c r="F2346" t="s">
        <v>5885</v>
      </c>
      <c r="G2346">
        <v>1</v>
      </c>
      <c r="H2346" t="s">
        <v>5587</v>
      </c>
      <c r="I2346" t="s">
        <v>137</v>
      </c>
      <c r="J2346" t="s">
        <v>2341</v>
      </c>
      <c r="K2346" t="s">
        <v>56</v>
      </c>
      <c r="L2346" t="s">
        <v>449</v>
      </c>
      <c r="M2346" s="3" t="str">
        <f>HYPERLINK("..\..\Imagery\ScannedPhotos\1992\VN92-098.jpg")</f>
        <v>..\..\Imagery\ScannedPhotos\1992\VN92-098.jpg</v>
      </c>
    </row>
    <row r="2347" spans="1:13" x14ac:dyDescent="0.25">
      <c r="A2347" t="s">
        <v>5886</v>
      </c>
      <c r="B2347">
        <v>578746</v>
      </c>
      <c r="C2347">
        <v>5797638</v>
      </c>
      <c r="D2347">
        <v>21</v>
      </c>
      <c r="E2347" t="s">
        <v>15</v>
      </c>
      <c r="F2347" t="s">
        <v>5887</v>
      </c>
      <c r="G2347">
        <v>1</v>
      </c>
      <c r="H2347" t="s">
        <v>2023</v>
      </c>
      <c r="I2347" t="s">
        <v>375</v>
      </c>
      <c r="J2347" t="s">
        <v>1052</v>
      </c>
      <c r="K2347" t="s">
        <v>20</v>
      </c>
      <c r="L2347" t="s">
        <v>4086</v>
      </c>
      <c r="M2347" s="3" t="str">
        <f>HYPERLINK("..\..\Imagery\ScannedPhotos\1987\JS87-471.jpg")</f>
        <v>..\..\Imagery\ScannedPhotos\1987\JS87-471.jpg</v>
      </c>
    </row>
    <row r="2348" spans="1:13" x14ac:dyDescent="0.25">
      <c r="A2348" t="s">
        <v>5888</v>
      </c>
      <c r="B2348">
        <v>591007</v>
      </c>
      <c r="C2348">
        <v>5783375</v>
      </c>
      <c r="D2348">
        <v>21</v>
      </c>
      <c r="E2348" t="s">
        <v>15</v>
      </c>
      <c r="F2348" t="s">
        <v>5889</v>
      </c>
      <c r="G2348">
        <v>1</v>
      </c>
      <c r="H2348" t="s">
        <v>2023</v>
      </c>
      <c r="I2348" t="s">
        <v>209</v>
      </c>
      <c r="J2348" t="s">
        <v>1052</v>
      </c>
      <c r="K2348" t="s">
        <v>20</v>
      </c>
      <c r="L2348" t="s">
        <v>5890</v>
      </c>
      <c r="M2348" s="3" t="str">
        <f>HYPERLINK("..\..\Imagery\ScannedPhotos\1987\JS87-485.jpg")</f>
        <v>..\..\Imagery\ScannedPhotos\1987\JS87-485.jpg</v>
      </c>
    </row>
    <row r="2349" spans="1:13" x14ac:dyDescent="0.25">
      <c r="A2349" t="s">
        <v>5891</v>
      </c>
      <c r="B2349">
        <v>588893</v>
      </c>
      <c r="C2349">
        <v>5784850</v>
      </c>
      <c r="D2349">
        <v>21</v>
      </c>
      <c r="E2349" t="s">
        <v>15</v>
      </c>
      <c r="F2349" t="s">
        <v>5892</v>
      </c>
      <c r="G2349">
        <v>1</v>
      </c>
      <c r="H2349" t="s">
        <v>2023</v>
      </c>
      <c r="I2349" t="s">
        <v>214</v>
      </c>
      <c r="J2349" t="s">
        <v>1052</v>
      </c>
      <c r="K2349" t="s">
        <v>20</v>
      </c>
      <c r="L2349" t="s">
        <v>4086</v>
      </c>
      <c r="M2349" s="3" t="str">
        <f>HYPERLINK("..\..\Imagery\ScannedPhotos\1987\JS87-493.jpg")</f>
        <v>..\..\Imagery\ScannedPhotos\1987\JS87-493.jpg</v>
      </c>
    </row>
    <row r="2350" spans="1:13" x14ac:dyDescent="0.25">
      <c r="A2350" t="s">
        <v>5893</v>
      </c>
      <c r="B2350">
        <v>573158</v>
      </c>
      <c r="C2350">
        <v>5877449</v>
      </c>
      <c r="D2350">
        <v>21</v>
      </c>
      <c r="E2350" t="s">
        <v>15</v>
      </c>
      <c r="F2350" t="s">
        <v>5894</v>
      </c>
      <c r="G2350">
        <v>1</v>
      </c>
      <c r="H2350" t="s">
        <v>1604</v>
      </c>
      <c r="I2350" t="s">
        <v>147</v>
      </c>
      <c r="J2350" t="s">
        <v>1605</v>
      </c>
      <c r="K2350" t="s">
        <v>20</v>
      </c>
      <c r="L2350" t="s">
        <v>5895</v>
      </c>
      <c r="M2350" s="3" t="str">
        <f>HYPERLINK("..\..\Imagery\ScannedPhotos\1985\CG85-428.jpg")</f>
        <v>..\..\Imagery\ScannedPhotos\1985\CG85-428.jpg</v>
      </c>
    </row>
    <row r="2351" spans="1:13" x14ac:dyDescent="0.25">
      <c r="A2351" t="s">
        <v>5896</v>
      </c>
      <c r="B2351">
        <v>574897</v>
      </c>
      <c r="C2351">
        <v>5880101</v>
      </c>
      <c r="D2351">
        <v>21</v>
      </c>
      <c r="E2351" t="s">
        <v>15</v>
      </c>
      <c r="F2351" t="s">
        <v>5897</v>
      </c>
      <c r="G2351">
        <v>1</v>
      </c>
      <c r="H2351" t="s">
        <v>1604</v>
      </c>
      <c r="I2351" t="s">
        <v>47</v>
      </c>
      <c r="J2351" t="s">
        <v>1605</v>
      </c>
      <c r="K2351" t="s">
        <v>20</v>
      </c>
      <c r="L2351" t="s">
        <v>5898</v>
      </c>
      <c r="M2351" s="3" t="str">
        <f>HYPERLINK("..\..\Imagery\ScannedPhotos\1985\CG85-434.jpg")</f>
        <v>..\..\Imagery\ScannedPhotos\1985\CG85-434.jpg</v>
      </c>
    </row>
    <row r="2352" spans="1:13" x14ac:dyDescent="0.25">
      <c r="A2352" t="s">
        <v>5899</v>
      </c>
      <c r="B2352">
        <v>575025</v>
      </c>
      <c r="C2352">
        <v>5880323</v>
      </c>
      <c r="D2352">
        <v>21</v>
      </c>
      <c r="E2352" t="s">
        <v>15</v>
      </c>
      <c r="F2352" t="s">
        <v>5900</v>
      </c>
      <c r="G2352">
        <v>1</v>
      </c>
      <c r="H2352" t="s">
        <v>1604</v>
      </c>
      <c r="I2352" t="s">
        <v>52</v>
      </c>
      <c r="J2352" t="s">
        <v>1605</v>
      </c>
      <c r="K2352" t="s">
        <v>20</v>
      </c>
      <c r="L2352" t="s">
        <v>5901</v>
      </c>
      <c r="M2352" s="3" t="str">
        <f>HYPERLINK("..\..\Imagery\ScannedPhotos\1985\CG85-435.jpg")</f>
        <v>..\..\Imagery\ScannedPhotos\1985\CG85-435.jpg</v>
      </c>
    </row>
    <row r="2353" spans="1:13" x14ac:dyDescent="0.25">
      <c r="A2353" t="s">
        <v>5902</v>
      </c>
      <c r="B2353">
        <v>575206</v>
      </c>
      <c r="C2353">
        <v>5881133</v>
      </c>
      <c r="D2353">
        <v>21</v>
      </c>
      <c r="E2353" t="s">
        <v>15</v>
      </c>
      <c r="F2353" t="s">
        <v>5903</v>
      </c>
      <c r="G2353">
        <v>1</v>
      </c>
      <c r="H2353" t="s">
        <v>1604</v>
      </c>
      <c r="I2353" t="s">
        <v>65</v>
      </c>
      <c r="J2353" t="s">
        <v>1605</v>
      </c>
      <c r="K2353" t="s">
        <v>20</v>
      </c>
      <c r="L2353" t="s">
        <v>2996</v>
      </c>
      <c r="M2353" s="3" t="str">
        <f>HYPERLINK("..\..\Imagery\ScannedPhotos\1985\CG85-437.jpg")</f>
        <v>..\..\Imagery\ScannedPhotos\1985\CG85-437.jpg</v>
      </c>
    </row>
    <row r="2354" spans="1:13" x14ac:dyDescent="0.25">
      <c r="A2354" t="s">
        <v>5904</v>
      </c>
      <c r="B2354">
        <v>576407</v>
      </c>
      <c r="C2354">
        <v>5874293</v>
      </c>
      <c r="D2354">
        <v>21</v>
      </c>
      <c r="E2354" t="s">
        <v>15</v>
      </c>
      <c r="F2354" t="s">
        <v>5905</v>
      </c>
      <c r="G2354">
        <v>3</v>
      </c>
      <c r="H2354" t="s">
        <v>1013</v>
      </c>
      <c r="I2354" t="s">
        <v>137</v>
      </c>
      <c r="J2354" t="s">
        <v>1014</v>
      </c>
      <c r="K2354" t="s">
        <v>935</v>
      </c>
      <c r="L2354" t="s">
        <v>5906</v>
      </c>
      <c r="M2354" s="3" t="str">
        <f>HYPERLINK("..\..\Imagery\ScannedPhotos\1985\CG85-445.3.jpg")</f>
        <v>..\..\Imagery\ScannedPhotos\1985\CG85-445.3.jpg</v>
      </c>
    </row>
    <row r="2355" spans="1:13" x14ac:dyDescent="0.25">
      <c r="A2355" t="s">
        <v>5904</v>
      </c>
      <c r="B2355">
        <v>576407</v>
      </c>
      <c r="C2355">
        <v>5874293</v>
      </c>
      <c r="D2355">
        <v>21</v>
      </c>
      <c r="E2355" t="s">
        <v>15</v>
      </c>
      <c r="F2355" t="s">
        <v>5907</v>
      </c>
      <c r="G2355">
        <v>3</v>
      </c>
      <c r="H2355" t="s">
        <v>1013</v>
      </c>
      <c r="I2355" t="s">
        <v>281</v>
      </c>
      <c r="J2355" t="s">
        <v>1014</v>
      </c>
      <c r="K2355" t="s">
        <v>20</v>
      </c>
      <c r="L2355" t="s">
        <v>5908</v>
      </c>
      <c r="M2355" s="3" t="str">
        <f>HYPERLINK("..\..\Imagery\ScannedPhotos\1985\CG85-445.2.jpg")</f>
        <v>..\..\Imagery\ScannedPhotos\1985\CG85-445.2.jpg</v>
      </c>
    </row>
    <row r="2356" spans="1:13" x14ac:dyDescent="0.25">
      <c r="A2356" t="s">
        <v>5904</v>
      </c>
      <c r="B2356">
        <v>576407</v>
      </c>
      <c r="C2356">
        <v>5874293</v>
      </c>
      <c r="D2356">
        <v>21</v>
      </c>
      <c r="E2356" t="s">
        <v>15</v>
      </c>
      <c r="F2356" t="s">
        <v>5909</v>
      </c>
      <c r="G2356">
        <v>3</v>
      </c>
      <c r="H2356" t="s">
        <v>1013</v>
      </c>
      <c r="I2356" t="s">
        <v>294</v>
      </c>
      <c r="J2356" t="s">
        <v>1014</v>
      </c>
      <c r="K2356" t="s">
        <v>20</v>
      </c>
      <c r="L2356" t="s">
        <v>5910</v>
      </c>
      <c r="M2356" s="3" t="str">
        <f>HYPERLINK("..\..\Imagery\ScannedPhotos\1985\CG85-445.1.jpg")</f>
        <v>..\..\Imagery\ScannedPhotos\1985\CG85-445.1.jpg</v>
      </c>
    </row>
    <row r="2357" spans="1:13" x14ac:dyDescent="0.25">
      <c r="A2357" t="s">
        <v>4488</v>
      </c>
      <c r="B2357">
        <v>342789</v>
      </c>
      <c r="C2357">
        <v>6065472</v>
      </c>
      <c r="D2357">
        <v>21</v>
      </c>
      <c r="E2357" t="s">
        <v>15</v>
      </c>
      <c r="F2357" t="s">
        <v>5911</v>
      </c>
      <c r="G2357">
        <v>3</v>
      </c>
      <c r="H2357" t="s">
        <v>3278</v>
      </c>
      <c r="I2357" t="s">
        <v>222</v>
      </c>
      <c r="J2357" t="s">
        <v>3279</v>
      </c>
      <c r="K2357" t="s">
        <v>20</v>
      </c>
      <c r="L2357" t="s">
        <v>5912</v>
      </c>
      <c r="M2357" s="3" t="str">
        <f>HYPERLINK("..\..\Imagery\ScannedPhotos\1978\AL78-284.1.jpg")</f>
        <v>..\..\Imagery\ScannedPhotos\1978\AL78-284.1.jpg</v>
      </c>
    </row>
    <row r="2358" spans="1:13" x14ac:dyDescent="0.25">
      <c r="A2358" t="s">
        <v>5913</v>
      </c>
      <c r="B2358">
        <v>587033</v>
      </c>
      <c r="C2358">
        <v>5811457</v>
      </c>
      <c r="D2358">
        <v>21</v>
      </c>
      <c r="E2358" t="s">
        <v>15</v>
      </c>
      <c r="F2358" t="s">
        <v>5914</v>
      </c>
      <c r="G2358">
        <v>1</v>
      </c>
      <c r="H2358" t="s">
        <v>1759</v>
      </c>
      <c r="I2358" t="s">
        <v>94</v>
      </c>
      <c r="J2358" t="s">
        <v>36</v>
      </c>
      <c r="K2358" t="s">
        <v>20</v>
      </c>
      <c r="L2358" t="s">
        <v>5915</v>
      </c>
      <c r="M2358" s="3" t="str">
        <f>HYPERLINK("..\..\Imagery\ScannedPhotos\1987\CC87-059.jpg")</f>
        <v>..\..\Imagery\ScannedPhotos\1987\CC87-059.jpg</v>
      </c>
    </row>
    <row r="2359" spans="1:13" x14ac:dyDescent="0.25">
      <c r="A2359" t="s">
        <v>5916</v>
      </c>
      <c r="B2359">
        <v>565066</v>
      </c>
      <c r="C2359">
        <v>5778621</v>
      </c>
      <c r="D2359">
        <v>21</v>
      </c>
      <c r="E2359" t="s">
        <v>15</v>
      </c>
      <c r="F2359" t="s">
        <v>5917</v>
      </c>
      <c r="G2359">
        <v>1</v>
      </c>
      <c r="H2359" t="s">
        <v>5918</v>
      </c>
      <c r="I2359" t="s">
        <v>18</v>
      </c>
      <c r="J2359" t="s">
        <v>1619</v>
      </c>
      <c r="K2359" t="s">
        <v>20</v>
      </c>
      <c r="L2359" t="s">
        <v>5919</v>
      </c>
      <c r="M2359" s="3" t="str">
        <f>HYPERLINK("..\..\Imagery\ScannedPhotos\1987\CC87-072.jpg")</f>
        <v>..\..\Imagery\ScannedPhotos\1987\CC87-072.jpg</v>
      </c>
    </row>
    <row r="2360" spans="1:13" x14ac:dyDescent="0.25">
      <c r="A2360" t="s">
        <v>5920</v>
      </c>
      <c r="B2360">
        <v>551728</v>
      </c>
      <c r="C2360">
        <v>5762483</v>
      </c>
      <c r="D2360">
        <v>21</v>
      </c>
      <c r="E2360" t="s">
        <v>15</v>
      </c>
      <c r="F2360" t="s">
        <v>5921</v>
      </c>
      <c r="G2360">
        <v>1</v>
      </c>
      <c r="H2360" t="s">
        <v>5922</v>
      </c>
      <c r="I2360" t="s">
        <v>294</v>
      </c>
      <c r="J2360" t="s">
        <v>5923</v>
      </c>
      <c r="K2360" t="s">
        <v>20</v>
      </c>
      <c r="L2360" t="s">
        <v>5924</v>
      </c>
      <c r="M2360" s="3" t="str">
        <f>HYPERLINK("..\..\Imagery\ScannedPhotos\1987\CC87-088.jpg")</f>
        <v>..\..\Imagery\ScannedPhotos\1987\CC87-088.jpg</v>
      </c>
    </row>
    <row r="2361" spans="1:13" x14ac:dyDescent="0.25">
      <c r="A2361" t="s">
        <v>551</v>
      </c>
      <c r="B2361">
        <v>567548</v>
      </c>
      <c r="C2361">
        <v>5772196</v>
      </c>
      <c r="D2361">
        <v>21</v>
      </c>
      <c r="E2361" t="s">
        <v>15</v>
      </c>
      <c r="F2361" t="s">
        <v>5925</v>
      </c>
      <c r="G2361">
        <v>4</v>
      </c>
      <c r="H2361" t="s">
        <v>5922</v>
      </c>
      <c r="I2361" t="s">
        <v>137</v>
      </c>
      <c r="J2361" t="s">
        <v>5923</v>
      </c>
      <c r="K2361" t="s">
        <v>20</v>
      </c>
      <c r="L2361" t="s">
        <v>553</v>
      </c>
      <c r="M2361" s="3" t="str">
        <f>HYPERLINK("..\..\Imagery\ScannedPhotos\1987\CC87-100.1.jpg")</f>
        <v>..\..\Imagery\ScannedPhotos\1987\CC87-100.1.jpg</v>
      </c>
    </row>
    <row r="2362" spans="1:13" x14ac:dyDescent="0.25">
      <c r="A2362" t="s">
        <v>5926</v>
      </c>
      <c r="B2362">
        <v>559783</v>
      </c>
      <c r="C2362">
        <v>5806296</v>
      </c>
      <c r="D2362">
        <v>21</v>
      </c>
      <c r="E2362" t="s">
        <v>15</v>
      </c>
      <c r="F2362" t="s">
        <v>5927</v>
      </c>
      <c r="G2362">
        <v>2</v>
      </c>
      <c r="H2362" t="s">
        <v>5922</v>
      </c>
      <c r="I2362" t="s">
        <v>209</v>
      </c>
      <c r="J2362" t="s">
        <v>5923</v>
      </c>
      <c r="K2362" t="s">
        <v>20</v>
      </c>
      <c r="L2362" t="s">
        <v>5928</v>
      </c>
      <c r="M2362" s="3" t="str">
        <f>HYPERLINK("..\..\Imagery\ScannedPhotos\1987\CC87-113.2.jpg")</f>
        <v>..\..\Imagery\ScannedPhotos\1987\CC87-113.2.jpg</v>
      </c>
    </row>
    <row r="2363" spans="1:13" x14ac:dyDescent="0.25">
      <c r="A2363" t="s">
        <v>5926</v>
      </c>
      <c r="B2363">
        <v>559783</v>
      </c>
      <c r="C2363">
        <v>5806296</v>
      </c>
      <c r="D2363">
        <v>21</v>
      </c>
      <c r="E2363" t="s">
        <v>15</v>
      </c>
      <c r="F2363" t="s">
        <v>5929</v>
      </c>
      <c r="G2363">
        <v>2</v>
      </c>
      <c r="H2363" t="s">
        <v>5922</v>
      </c>
      <c r="I2363" t="s">
        <v>85</v>
      </c>
      <c r="J2363" t="s">
        <v>5923</v>
      </c>
      <c r="K2363" t="s">
        <v>20</v>
      </c>
      <c r="L2363" t="s">
        <v>5930</v>
      </c>
      <c r="M2363" s="3" t="str">
        <f>HYPERLINK("..\..\Imagery\ScannedPhotos\1987\CC87-113.1.jpg")</f>
        <v>..\..\Imagery\ScannedPhotos\1987\CC87-113.1.jpg</v>
      </c>
    </row>
    <row r="2364" spans="1:13" x14ac:dyDescent="0.25">
      <c r="A2364" t="s">
        <v>970</v>
      </c>
      <c r="B2364">
        <v>442431</v>
      </c>
      <c r="C2364">
        <v>5995299</v>
      </c>
      <c r="D2364">
        <v>21</v>
      </c>
      <c r="E2364" t="s">
        <v>15</v>
      </c>
      <c r="F2364" t="s">
        <v>5931</v>
      </c>
      <c r="G2364">
        <v>13</v>
      </c>
      <c r="H2364" t="s">
        <v>972</v>
      </c>
      <c r="I2364" t="s">
        <v>85</v>
      </c>
      <c r="J2364" t="s">
        <v>807</v>
      </c>
      <c r="K2364" t="s">
        <v>20</v>
      </c>
      <c r="L2364" t="s">
        <v>973</v>
      </c>
      <c r="M2364" s="3" t="str">
        <f>HYPERLINK("..\..\Imagery\ScannedPhotos\1980\RG80-133.10.jpg")</f>
        <v>..\..\Imagery\ScannedPhotos\1980\RG80-133.10.jpg</v>
      </c>
    </row>
    <row r="2365" spans="1:13" x14ac:dyDescent="0.25">
      <c r="A2365" t="s">
        <v>2013</v>
      </c>
      <c r="B2365">
        <v>403718</v>
      </c>
      <c r="C2365">
        <v>6006491</v>
      </c>
      <c r="D2365">
        <v>21</v>
      </c>
      <c r="E2365" t="s">
        <v>15</v>
      </c>
      <c r="F2365" t="s">
        <v>5932</v>
      </c>
      <c r="G2365">
        <v>5</v>
      </c>
      <c r="H2365" t="s">
        <v>1593</v>
      </c>
      <c r="I2365" t="s">
        <v>25</v>
      </c>
      <c r="J2365" t="s">
        <v>1594</v>
      </c>
      <c r="K2365" t="s">
        <v>20</v>
      </c>
      <c r="L2365" t="s">
        <v>5933</v>
      </c>
      <c r="M2365" s="3" t="str">
        <f>HYPERLINK("..\..\Imagery\ScannedPhotos\1980\NN80-020.3.jpg")</f>
        <v>..\..\Imagery\ScannedPhotos\1980\NN80-020.3.jpg</v>
      </c>
    </row>
    <row r="2366" spans="1:13" x14ac:dyDescent="0.25">
      <c r="A2366" t="s">
        <v>2013</v>
      </c>
      <c r="B2366">
        <v>403718</v>
      </c>
      <c r="C2366">
        <v>6006491</v>
      </c>
      <c r="D2366">
        <v>21</v>
      </c>
      <c r="E2366" t="s">
        <v>15</v>
      </c>
      <c r="F2366" t="s">
        <v>5934</v>
      </c>
      <c r="G2366">
        <v>5</v>
      </c>
      <c r="H2366" t="s">
        <v>1593</v>
      </c>
      <c r="I2366" t="s">
        <v>195</v>
      </c>
      <c r="J2366" t="s">
        <v>1594</v>
      </c>
      <c r="K2366" t="s">
        <v>20</v>
      </c>
      <c r="L2366" t="s">
        <v>5935</v>
      </c>
      <c r="M2366" s="3" t="str">
        <f>HYPERLINK("..\..\Imagery\ScannedPhotos\1980\NN80-020.2.jpg")</f>
        <v>..\..\Imagery\ScannedPhotos\1980\NN80-020.2.jpg</v>
      </c>
    </row>
    <row r="2367" spans="1:13" x14ac:dyDescent="0.25">
      <c r="A2367" t="s">
        <v>2013</v>
      </c>
      <c r="B2367">
        <v>403718</v>
      </c>
      <c r="C2367">
        <v>6006491</v>
      </c>
      <c r="D2367">
        <v>21</v>
      </c>
      <c r="E2367" t="s">
        <v>15</v>
      </c>
      <c r="F2367" t="s">
        <v>5936</v>
      </c>
      <c r="G2367">
        <v>5</v>
      </c>
      <c r="H2367" t="s">
        <v>1593</v>
      </c>
      <c r="I2367" t="s">
        <v>360</v>
      </c>
      <c r="J2367" t="s">
        <v>1594</v>
      </c>
      <c r="K2367" t="s">
        <v>20</v>
      </c>
      <c r="L2367" t="s">
        <v>2015</v>
      </c>
      <c r="M2367" s="3" t="str">
        <f>HYPERLINK("..\..\Imagery\ScannedPhotos\1980\NN80-020.4.jpg")</f>
        <v>..\..\Imagery\ScannedPhotos\1980\NN80-020.4.jpg</v>
      </c>
    </row>
    <row r="2368" spans="1:13" x14ac:dyDescent="0.25">
      <c r="A2368" t="s">
        <v>5937</v>
      </c>
      <c r="B2368">
        <v>581129</v>
      </c>
      <c r="C2368">
        <v>5902611</v>
      </c>
      <c r="D2368">
        <v>21</v>
      </c>
      <c r="E2368" t="s">
        <v>15</v>
      </c>
      <c r="F2368" t="s">
        <v>5938</v>
      </c>
      <c r="G2368">
        <v>4</v>
      </c>
      <c r="H2368" t="s">
        <v>1373</v>
      </c>
      <c r="I2368" t="s">
        <v>386</v>
      </c>
      <c r="J2368" t="s">
        <v>1374</v>
      </c>
      <c r="K2368" t="s">
        <v>20</v>
      </c>
      <c r="L2368" t="s">
        <v>5939</v>
      </c>
      <c r="M2368" s="3" t="str">
        <f>HYPERLINK("..\..\Imagery\ScannedPhotos\1985\CG85-520.2.jpg")</f>
        <v>..\..\Imagery\ScannedPhotos\1985\CG85-520.2.jpg</v>
      </c>
    </row>
    <row r="2369" spans="1:13" x14ac:dyDescent="0.25">
      <c r="A2369" t="s">
        <v>5937</v>
      </c>
      <c r="B2369">
        <v>581129</v>
      </c>
      <c r="C2369">
        <v>5902611</v>
      </c>
      <c r="D2369">
        <v>21</v>
      </c>
      <c r="E2369" t="s">
        <v>15</v>
      </c>
      <c r="F2369" t="s">
        <v>5940</v>
      </c>
      <c r="G2369">
        <v>4</v>
      </c>
      <c r="H2369" t="s">
        <v>1373</v>
      </c>
      <c r="I2369" t="s">
        <v>217</v>
      </c>
      <c r="J2369" t="s">
        <v>1374</v>
      </c>
      <c r="K2369" t="s">
        <v>20</v>
      </c>
      <c r="L2369" t="s">
        <v>5939</v>
      </c>
      <c r="M2369" s="3" t="str">
        <f>HYPERLINK("..\..\Imagery\ScannedPhotos\1985\CG85-520.3.jpg")</f>
        <v>..\..\Imagery\ScannedPhotos\1985\CG85-520.3.jpg</v>
      </c>
    </row>
    <row r="2370" spans="1:13" x14ac:dyDescent="0.25">
      <c r="A2370" t="s">
        <v>5937</v>
      </c>
      <c r="B2370">
        <v>581129</v>
      </c>
      <c r="C2370">
        <v>5902611</v>
      </c>
      <c r="D2370">
        <v>21</v>
      </c>
      <c r="E2370" t="s">
        <v>15</v>
      </c>
      <c r="F2370" t="s">
        <v>5941</v>
      </c>
      <c r="G2370">
        <v>4</v>
      </c>
      <c r="H2370" t="s">
        <v>1373</v>
      </c>
      <c r="I2370" t="s">
        <v>214</v>
      </c>
      <c r="J2370" t="s">
        <v>1374</v>
      </c>
      <c r="K2370" t="s">
        <v>20</v>
      </c>
      <c r="L2370" t="s">
        <v>5939</v>
      </c>
      <c r="M2370" s="3" t="str">
        <f>HYPERLINK("..\..\Imagery\ScannedPhotos\1985\CG85-520.4.jpg")</f>
        <v>..\..\Imagery\ScannedPhotos\1985\CG85-520.4.jpg</v>
      </c>
    </row>
    <row r="2371" spans="1:13" x14ac:dyDescent="0.25">
      <c r="A2371" t="s">
        <v>5937</v>
      </c>
      <c r="B2371">
        <v>581129</v>
      </c>
      <c r="C2371">
        <v>5902611</v>
      </c>
      <c r="D2371">
        <v>21</v>
      </c>
      <c r="E2371" t="s">
        <v>15</v>
      </c>
      <c r="F2371" t="s">
        <v>5942</v>
      </c>
      <c r="G2371">
        <v>4</v>
      </c>
      <c r="H2371" t="s">
        <v>1373</v>
      </c>
      <c r="I2371" t="s">
        <v>209</v>
      </c>
      <c r="J2371" t="s">
        <v>1374</v>
      </c>
      <c r="K2371" t="s">
        <v>20</v>
      </c>
      <c r="L2371" t="s">
        <v>5939</v>
      </c>
      <c r="M2371" s="3" t="str">
        <f>HYPERLINK("..\..\Imagery\ScannedPhotos\1985\CG85-520.1.jpg")</f>
        <v>..\..\Imagery\ScannedPhotos\1985\CG85-520.1.jpg</v>
      </c>
    </row>
    <row r="2372" spans="1:13" x14ac:dyDescent="0.25">
      <c r="A2372" t="s">
        <v>5943</v>
      </c>
      <c r="B2372">
        <v>581455</v>
      </c>
      <c r="C2372">
        <v>5900603</v>
      </c>
      <c r="D2372">
        <v>21</v>
      </c>
      <c r="E2372" t="s">
        <v>15</v>
      </c>
      <c r="F2372" t="s">
        <v>5944</v>
      </c>
      <c r="G2372">
        <v>2</v>
      </c>
      <c r="H2372" t="s">
        <v>1373</v>
      </c>
      <c r="I2372" t="s">
        <v>304</v>
      </c>
      <c r="J2372" t="s">
        <v>1374</v>
      </c>
      <c r="K2372" t="s">
        <v>20</v>
      </c>
      <c r="L2372" t="s">
        <v>5945</v>
      </c>
      <c r="M2372" s="3" t="str">
        <f>HYPERLINK("..\..\Imagery\ScannedPhotos\1985\CG85-526.2.jpg")</f>
        <v>..\..\Imagery\ScannedPhotos\1985\CG85-526.2.jpg</v>
      </c>
    </row>
    <row r="2373" spans="1:13" x14ac:dyDescent="0.25">
      <c r="A2373" t="s">
        <v>5943</v>
      </c>
      <c r="B2373">
        <v>581455</v>
      </c>
      <c r="C2373">
        <v>5900603</v>
      </c>
      <c r="D2373">
        <v>21</v>
      </c>
      <c r="E2373" t="s">
        <v>15</v>
      </c>
      <c r="F2373" t="s">
        <v>5946</v>
      </c>
      <c r="G2373">
        <v>2</v>
      </c>
      <c r="H2373" t="s">
        <v>1373</v>
      </c>
      <c r="I2373" t="s">
        <v>418</v>
      </c>
      <c r="J2373" t="s">
        <v>1374</v>
      </c>
      <c r="K2373" t="s">
        <v>56</v>
      </c>
      <c r="L2373" t="s">
        <v>1020</v>
      </c>
      <c r="M2373" s="3" t="str">
        <f>HYPERLINK("..\..\Imagery\ScannedPhotos\1985\CG85-526.1.jpg")</f>
        <v>..\..\Imagery\ScannedPhotos\1985\CG85-526.1.jpg</v>
      </c>
    </row>
    <row r="2374" spans="1:13" x14ac:dyDescent="0.25">
      <c r="A2374" t="s">
        <v>4470</v>
      </c>
      <c r="B2374">
        <v>581923</v>
      </c>
      <c r="C2374">
        <v>5900337</v>
      </c>
      <c r="D2374">
        <v>21</v>
      </c>
      <c r="E2374" t="s">
        <v>15</v>
      </c>
      <c r="F2374" t="s">
        <v>5947</v>
      </c>
      <c r="G2374">
        <v>2</v>
      </c>
      <c r="H2374" t="s">
        <v>1373</v>
      </c>
      <c r="I2374" t="s">
        <v>195</v>
      </c>
      <c r="J2374" t="s">
        <v>1374</v>
      </c>
      <c r="K2374" t="s">
        <v>20</v>
      </c>
      <c r="L2374" t="s">
        <v>5948</v>
      </c>
      <c r="M2374" s="3" t="str">
        <f>HYPERLINK("..\..\Imagery\ScannedPhotos\1985\CG85-529.1.jpg")</f>
        <v>..\..\Imagery\ScannedPhotos\1985\CG85-529.1.jpg</v>
      </c>
    </row>
    <row r="2375" spans="1:13" x14ac:dyDescent="0.25">
      <c r="A2375" t="s">
        <v>5949</v>
      </c>
      <c r="B2375">
        <v>452310</v>
      </c>
      <c r="C2375">
        <v>5775234</v>
      </c>
      <c r="D2375">
        <v>21</v>
      </c>
      <c r="E2375" t="s">
        <v>15</v>
      </c>
      <c r="F2375" t="s">
        <v>5950</v>
      </c>
      <c r="G2375">
        <v>1</v>
      </c>
      <c r="H2375" t="s">
        <v>1163</v>
      </c>
      <c r="I2375" t="s">
        <v>129</v>
      </c>
      <c r="J2375" t="s">
        <v>814</v>
      </c>
      <c r="K2375" t="s">
        <v>56</v>
      </c>
      <c r="L2375" t="s">
        <v>5951</v>
      </c>
      <c r="M2375" s="3" t="str">
        <f>HYPERLINK("..\..\Imagery\ScannedPhotos\1992\VN92-155.jpg")</f>
        <v>..\..\Imagery\ScannedPhotos\1992\VN92-155.jpg</v>
      </c>
    </row>
    <row r="2376" spans="1:13" x14ac:dyDescent="0.25">
      <c r="A2376" t="s">
        <v>5952</v>
      </c>
      <c r="B2376">
        <v>451818</v>
      </c>
      <c r="C2376">
        <v>5773754</v>
      </c>
      <c r="D2376">
        <v>21</v>
      </c>
      <c r="E2376" t="s">
        <v>15</v>
      </c>
      <c r="F2376" t="s">
        <v>5953</v>
      </c>
      <c r="G2376">
        <v>5</v>
      </c>
      <c r="H2376" t="s">
        <v>1163</v>
      </c>
      <c r="I2376" t="s">
        <v>147</v>
      </c>
      <c r="J2376" t="s">
        <v>814</v>
      </c>
      <c r="K2376" t="s">
        <v>20</v>
      </c>
      <c r="L2376" t="s">
        <v>5954</v>
      </c>
      <c r="M2376" s="3" t="str">
        <f>HYPERLINK("..\..\Imagery\ScannedPhotos\1992\VN92-158.2.jpg")</f>
        <v>..\..\Imagery\ScannedPhotos\1992\VN92-158.2.jpg</v>
      </c>
    </row>
    <row r="2377" spans="1:13" x14ac:dyDescent="0.25">
      <c r="A2377" t="s">
        <v>5952</v>
      </c>
      <c r="B2377">
        <v>451818</v>
      </c>
      <c r="C2377">
        <v>5773754</v>
      </c>
      <c r="D2377">
        <v>21</v>
      </c>
      <c r="E2377" t="s">
        <v>15</v>
      </c>
      <c r="F2377" t="s">
        <v>5955</v>
      </c>
      <c r="G2377">
        <v>5</v>
      </c>
      <c r="H2377" t="s">
        <v>1163</v>
      </c>
      <c r="I2377" t="s">
        <v>47</v>
      </c>
      <c r="J2377" t="s">
        <v>814</v>
      </c>
      <c r="K2377" t="s">
        <v>20</v>
      </c>
      <c r="L2377" t="s">
        <v>5954</v>
      </c>
      <c r="M2377" s="3" t="str">
        <f>HYPERLINK("..\..\Imagery\ScannedPhotos\1992\VN92-158.3.jpg")</f>
        <v>..\..\Imagery\ScannedPhotos\1992\VN92-158.3.jpg</v>
      </c>
    </row>
    <row r="2378" spans="1:13" x14ac:dyDescent="0.25">
      <c r="A2378" t="s">
        <v>5952</v>
      </c>
      <c r="B2378">
        <v>451818</v>
      </c>
      <c r="C2378">
        <v>5773754</v>
      </c>
      <c r="D2378">
        <v>21</v>
      </c>
      <c r="E2378" t="s">
        <v>15</v>
      </c>
      <c r="F2378" t="s">
        <v>5956</v>
      </c>
      <c r="G2378">
        <v>5</v>
      </c>
      <c r="H2378" t="s">
        <v>1163</v>
      </c>
      <c r="I2378" t="s">
        <v>52</v>
      </c>
      <c r="J2378" t="s">
        <v>814</v>
      </c>
      <c r="K2378" t="s">
        <v>20</v>
      </c>
      <c r="L2378" t="s">
        <v>5957</v>
      </c>
      <c r="M2378" s="3" t="str">
        <f>HYPERLINK("..\..\Imagery\ScannedPhotos\1992\VN92-158.4.jpg")</f>
        <v>..\..\Imagery\ScannedPhotos\1992\VN92-158.4.jpg</v>
      </c>
    </row>
    <row r="2379" spans="1:13" x14ac:dyDescent="0.25">
      <c r="A2379" t="s">
        <v>5952</v>
      </c>
      <c r="B2379">
        <v>451818</v>
      </c>
      <c r="C2379">
        <v>5773754</v>
      </c>
      <c r="D2379">
        <v>21</v>
      </c>
      <c r="E2379" t="s">
        <v>15</v>
      </c>
      <c r="F2379" t="s">
        <v>5958</v>
      </c>
      <c r="G2379">
        <v>5</v>
      </c>
      <c r="H2379" t="s">
        <v>1163</v>
      </c>
      <c r="I2379" t="s">
        <v>65</v>
      </c>
      <c r="J2379" t="s">
        <v>814</v>
      </c>
      <c r="K2379" t="s">
        <v>20</v>
      </c>
      <c r="L2379" t="s">
        <v>5957</v>
      </c>
      <c r="M2379" s="3" t="str">
        <f>HYPERLINK("..\..\Imagery\ScannedPhotos\1992\VN92-158.5.jpg")</f>
        <v>..\..\Imagery\ScannedPhotos\1992\VN92-158.5.jpg</v>
      </c>
    </row>
    <row r="2380" spans="1:13" x14ac:dyDescent="0.25">
      <c r="A2380" t="s">
        <v>5959</v>
      </c>
      <c r="B2380">
        <v>431617</v>
      </c>
      <c r="C2380">
        <v>6087113</v>
      </c>
      <c r="D2380">
        <v>21</v>
      </c>
      <c r="E2380" t="s">
        <v>15</v>
      </c>
      <c r="F2380" t="s">
        <v>5960</v>
      </c>
      <c r="G2380">
        <v>1</v>
      </c>
      <c r="H2380" t="s">
        <v>1833</v>
      </c>
      <c r="I2380" t="s">
        <v>375</v>
      </c>
      <c r="J2380" t="s">
        <v>610</v>
      </c>
      <c r="K2380" t="s">
        <v>20</v>
      </c>
      <c r="L2380" t="s">
        <v>5961</v>
      </c>
      <c r="M2380" s="3" t="str">
        <f>HYPERLINK("..\..\Imagery\ScannedPhotos\1979\CG79-152.jpg")</f>
        <v>..\..\Imagery\ScannedPhotos\1979\CG79-152.jpg</v>
      </c>
    </row>
    <row r="2381" spans="1:13" x14ac:dyDescent="0.25">
      <c r="A2381" t="s">
        <v>5962</v>
      </c>
      <c r="B2381">
        <v>403510</v>
      </c>
      <c r="C2381">
        <v>5996568</v>
      </c>
      <c r="D2381">
        <v>21</v>
      </c>
      <c r="E2381" t="s">
        <v>15</v>
      </c>
      <c r="F2381" t="s">
        <v>5963</v>
      </c>
      <c r="G2381">
        <v>2</v>
      </c>
      <c r="H2381" t="s">
        <v>1156</v>
      </c>
      <c r="I2381" t="s">
        <v>217</v>
      </c>
      <c r="J2381" t="s">
        <v>95</v>
      </c>
      <c r="K2381" t="s">
        <v>20</v>
      </c>
      <c r="L2381" t="s">
        <v>5964</v>
      </c>
      <c r="M2381" s="3" t="str">
        <f>HYPERLINK("..\..\Imagery\ScannedPhotos\1980\CG80-127.2.jpg")</f>
        <v>..\..\Imagery\ScannedPhotos\1980\CG80-127.2.jpg</v>
      </c>
    </row>
    <row r="2382" spans="1:13" x14ac:dyDescent="0.25">
      <c r="A2382" t="s">
        <v>1794</v>
      </c>
      <c r="B2382">
        <v>580402</v>
      </c>
      <c r="C2382">
        <v>5930858</v>
      </c>
      <c r="D2382">
        <v>21</v>
      </c>
      <c r="E2382" t="s">
        <v>15</v>
      </c>
      <c r="F2382" t="s">
        <v>5965</v>
      </c>
      <c r="G2382">
        <v>5</v>
      </c>
      <c r="H2382" t="s">
        <v>1796</v>
      </c>
      <c r="I2382" t="s">
        <v>30</v>
      </c>
      <c r="J2382" t="s">
        <v>1797</v>
      </c>
      <c r="K2382" t="s">
        <v>20</v>
      </c>
      <c r="L2382" t="s">
        <v>5966</v>
      </c>
      <c r="M2382" s="3" t="str">
        <f>HYPERLINK("..\..\Imagery\ScannedPhotos\1985\VN85-416.5.jpg")</f>
        <v>..\..\Imagery\ScannedPhotos\1985\VN85-416.5.jpg</v>
      </c>
    </row>
    <row r="2383" spans="1:13" x14ac:dyDescent="0.25">
      <c r="A2383" t="s">
        <v>1794</v>
      </c>
      <c r="B2383">
        <v>580402</v>
      </c>
      <c r="C2383">
        <v>5930858</v>
      </c>
      <c r="D2383">
        <v>21</v>
      </c>
      <c r="E2383" t="s">
        <v>15</v>
      </c>
      <c r="F2383" t="s">
        <v>5967</v>
      </c>
      <c r="G2383">
        <v>5</v>
      </c>
      <c r="H2383" t="s">
        <v>1796</v>
      </c>
      <c r="I2383" t="s">
        <v>360</v>
      </c>
      <c r="J2383" t="s">
        <v>1797</v>
      </c>
      <c r="K2383" t="s">
        <v>20</v>
      </c>
      <c r="L2383" t="s">
        <v>5968</v>
      </c>
      <c r="M2383" s="3" t="str">
        <f>HYPERLINK("..\..\Imagery\ScannedPhotos\1985\VN85-416.3.jpg")</f>
        <v>..\..\Imagery\ScannedPhotos\1985\VN85-416.3.jpg</v>
      </c>
    </row>
    <row r="2384" spans="1:13" x14ac:dyDescent="0.25">
      <c r="A2384" t="s">
        <v>1794</v>
      </c>
      <c r="B2384">
        <v>580402</v>
      </c>
      <c r="C2384">
        <v>5930858</v>
      </c>
      <c r="D2384">
        <v>21</v>
      </c>
      <c r="E2384" t="s">
        <v>15</v>
      </c>
      <c r="F2384" t="s">
        <v>5969</v>
      </c>
      <c r="G2384">
        <v>5</v>
      </c>
      <c r="H2384" t="s">
        <v>1796</v>
      </c>
      <c r="I2384" t="s">
        <v>647</v>
      </c>
      <c r="J2384" t="s">
        <v>1797</v>
      </c>
      <c r="K2384" t="s">
        <v>20</v>
      </c>
      <c r="L2384" t="s">
        <v>5966</v>
      </c>
      <c r="M2384" s="3" t="str">
        <f>HYPERLINK("..\..\Imagery\ScannedPhotos\1985\VN85-416.4.jpg")</f>
        <v>..\..\Imagery\ScannedPhotos\1985\VN85-416.4.jpg</v>
      </c>
    </row>
    <row r="2385" spans="1:13" x14ac:dyDescent="0.25">
      <c r="A2385" t="s">
        <v>5597</v>
      </c>
      <c r="B2385">
        <v>403430</v>
      </c>
      <c r="C2385">
        <v>5868985</v>
      </c>
      <c r="D2385">
        <v>21</v>
      </c>
      <c r="E2385" t="s">
        <v>15</v>
      </c>
      <c r="F2385" t="s">
        <v>5970</v>
      </c>
      <c r="G2385">
        <v>2</v>
      </c>
      <c r="H2385" t="s">
        <v>1919</v>
      </c>
      <c r="I2385" t="s">
        <v>114</v>
      </c>
      <c r="J2385" t="s">
        <v>771</v>
      </c>
      <c r="K2385" t="s">
        <v>56</v>
      </c>
      <c r="L2385" t="s">
        <v>5971</v>
      </c>
      <c r="M2385" s="3" t="str">
        <f>HYPERLINK("..\..\Imagery\ScannedPhotos\1997\CG97-092.2.jpg")</f>
        <v>..\..\Imagery\ScannedPhotos\1997\CG97-092.2.jpg</v>
      </c>
    </row>
    <row r="2386" spans="1:13" x14ac:dyDescent="0.25">
      <c r="A2386" t="s">
        <v>5972</v>
      </c>
      <c r="B2386">
        <v>405541</v>
      </c>
      <c r="C2386">
        <v>5870120</v>
      </c>
      <c r="D2386">
        <v>21</v>
      </c>
      <c r="E2386" t="s">
        <v>15</v>
      </c>
      <c r="F2386" t="s">
        <v>5973</v>
      </c>
      <c r="G2386">
        <v>1</v>
      </c>
      <c r="H2386" t="s">
        <v>1913</v>
      </c>
      <c r="I2386" t="s">
        <v>41</v>
      </c>
      <c r="J2386" t="s">
        <v>771</v>
      </c>
      <c r="K2386" t="s">
        <v>228</v>
      </c>
      <c r="L2386" t="s">
        <v>5974</v>
      </c>
      <c r="M2386" s="3" t="str">
        <f>HYPERLINK("..\..\Imagery\ScannedPhotos\1997\CG97-094.jpg")</f>
        <v>..\..\Imagery\ScannedPhotos\1997\CG97-094.jpg</v>
      </c>
    </row>
    <row r="2387" spans="1:13" x14ac:dyDescent="0.25">
      <c r="A2387" t="s">
        <v>5975</v>
      </c>
      <c r="B2387">
        <v>411814</v>
      </c>
      <c r="C2387">
        <v>5872323</v>
      </c>
      <c r="D2387">
        <v>21</v>
      </c>
      <c r="E2387" t="s">
        <v>15</v>
      </c>
      <c r="F2387" t="s">
        <v>5976</v>
      </c>
      <c r="G2387">
        <v>1</v>
      </c>
      <c r="H2387" t="s">
        <v>1913</v>
      </c>
      <c r="I2387" t="s">
        <v>375</v>
      </c>
      <c r="J2387" t="s">
        <v>771</v>
      </c>
      <c r="K2387" t="s">
        <v>228</v>
      </c>
      <c r="L2387" t="s">
        <v>5977</v>
      </c>
      <c r="M2387" s="3" t="str">
        <f>HYPERLINK("..\..\Imagery\ScannedPhotos\1997\CG97-100.jpg")</f>
        <v>..\..\Imagery\ScannedPhotos\1997\CG97-100.jpg</v>
      </c>
    </row>
    <row r="2388" spans="1:13" x14ac:dyDescent="0.25">
      <c r="A2388" t="s">
        <v>5978</v>
      </c>
      <c r="B2388">
        <v>383651</v>
      </c>
      <c r="C2388">
        <v>5861600</v>
      </c>
      <c r="D2388">
        <v>21</v>
      </c>
      <c r="E2388" t="s">
        <v>15</v>
      </c>
      <c r="F2388" t="s">
        <v>5979</v>
      </c>
      <c r="G2388">
        <v>2</v>
      </c>
      <c r="H2388" t="s">
        <v>1397</v>
      </c>
      <c r="I2388" t="s">
        <v>294</v>
      </c>
      <c r="J2388" t="s">
        <v>771</v>
      </c>
      <c r="K2388" t="s">
        <v>56</v>
      </c>
      <c r="L2388" t="s">
        <v>5980</v>
      </c>
      <c r="M2388" s="3" t="str">
        <f>HYPERLINK("..\..\Imagery\ScannedPhotos\1997\CG97-112.1.jpg")</f>
        <v>..\..\Imagery\ScannedPhotos\1997\CG97-112.1.jpg</v>
      </c>
    </row>
    <row r="2389" spans="1:13" x14ac:dyDescent="0.25">
      <c r="A2389" t="s">
        <v>1074</v>
      </c>
      <c r="B2389">
        <v>517524</v>
      </c>
      <c r="C2389">
        <v>5712120</v>
      </c>
      <c r="D2389">
        <v>21</v>
      </c>
      <c r="E2389" t="s">
        <v>15</v>
      </c>
      <c r="F2389" t="s">
        <v>5981</v>
      </c>
      <c r="G2389">
        <v>9</v>
      </c>
      <c r="H2389" t="s">
        <v>1076</v>
      </c>
      <c r="I2389" t="s">
        <v>18</v>
      </c>
      <c r="J2389" t="s">
        <v>570</v>
      </c>
      <c r="K2389" t="s">
        <v>56</v>
      </c>
      <c r="L2389" t="s">
        <v>4669</v>
      </c>
      <c r="M2389" s="3" t="str">
        <f>HYPERLINK("..\..\Imagery\ScannedPhotos\1993\CG93-268.3.jpg")</f>
        <v>..\..\Imagery\ScannedPhotos\1993\CG93-268.3.jpg</v>
      </c>
    </row>
    <row r="2390" spans="1:13" x14ac:dyDescent="0.25">
      <c r="A2390" t="s">
        <v>1074</v>
      </c>
      <c r="B2390">
        <v>517524</v>
      </c>
      <c r="C2390">
        <v>5712120</v>
      </c>
      <c r="D2390">
        <v>21</v>
      </c>
      <c r="E2390" t="s">
        <v>15</v>
      </c>
      <c r="F2390" t="s">
        <v>5982</v>
      </c>
      <c r="G2390">
        <v>9</v>
      </c>
      <c r="H2390" t="s">
        <v>1076</v>
      </c>
      <c r="I2390" t="s">
        <v>41</v>
      </c>
      <c r="J2390" t="s">
        <v>570</v>
      </c>
      <c r="K2390" t="s">
        <v>56</v>
      </c>
      <c r="L2390" t="s">
        <v>5983</v>
      </c>
      <c r="M2390" s="3" t="str">
        <f>HYPERLINK("..\..\Imagery\ScannedPhotos\1993\CG93-268.7.jpg")</f>
        <v>..\..\Imagery\ScannedPhotos\1993\CG93-268.7.jpg</v>
      </c>
    </row>
    <row r="2391" spans="1:13" x14ac:dyDescent="0.25">
      <c r="A2391" t="s">
        <v>2021</v>
      </c>
      <c r="B2391">
        <v>584277</v>
      </c>
      <c r="C2391">
        <v>5791850</v>
      </c>
      <c r="D2391">
        <v>21</v>
      </c>
      <c r="E2391" t="s">
        <v>15</v>
      </c>
      <c r="F2391" t="s">
        <v>5984</v>
      </c>
      <c r="G2391">
        <v>3</v>
      </c>
      <c r="H2391" t="s">
        <v>2023</v>
      </c>
      <c r="I2391" t="s">
        <v>222</v>
      </c>
      <c r="J2391" t="s">
        <v>1052</v>
      </c>
      <c r="K2391" t="s">
        <v>20</v>
      </c>
      <c r="L2391" t="s">
        <v>5985</v>
      </c>
      <c r="M2391" s="3" t="str">
        <f>HYPERLINK("..\..\Imagery\ScannedPhotos\1987\JS87-498.1.jpg")</f>
        <v>..\..\Imagery\ScannedPhotos\1987\JS87-498.1.jpg</v>
      </c>
    </row>
    <row r="2392" spans="1:13" x14ac:dyDescent="0.25">
      <c r="A2392" t="s">
        <v>2021</v>
      </c>
      <c r="B2392">
        <v>584277</v>
      </c>
      <c r="C2392">
        <v>5791850</v>
      </c>
      <c r="D2392">
        <v>21</v>
      </c>
      <c r="E2392" t="s">
        <v>15</v>
      </c>
      <c r="F2392" t="s">
        <v>5986</v>
      </c>
      <c r="G2392">
        <v>3</v>
      </c>
      <c r="H2392" t="s">
        <v>2023</v>
      </c>
      <c r="I2392" t="s">
        <v>418</v>
      </c>
      <c r="J2392" t="s">
        <v>1052</v>
      </c>
      <c r="K2392" t="s">
        <v>20</v>
      </c>
      <c r="L2392" t="s">
        <v>5985</v>
      </c>
      <c r="M2392" s="3" t="str">
        <f>HYPERLINK("..\..\Imagery\ScannedPhotos\1987\JS87-498.2.jpg")</f>
        <v>..\..\Imagery\ScannedPhotos\1987\JS87-498.2.jpg</v>
      </c>
    </row>
    <row r="2393" spans="1:13" x14ac:dyDescent="0.25">
      <c r="A2393" t="s">
        <v>5987</v>
      </c>
      <c r="B2393">
        <v>426866</v>
      </c>
      <c r="C2393">
        <v>5849602</v>
      </c>
      <c r="D2393">
        <v>21</v>
      </c>
      <c r="E2393" t="s">
        <v>15</v>
      </c>
      <c r="F2393" t="s">
        <v>5988</v>
      </c>
      <c r="G2393">
        <v>1</v>
      </c>
      <c r="H2393" t="s">
        <v>1397</v>
      </c>
      <c r="I2393" t="s">
        <v>281</v>
      </c>
      <c r="J2393" t="s">
        <v>771</v>
      </c>
      <c r="K2393" t="s">
        <v>56</v>
      </c>
      <c r="L2393" t="s">
        <v>5989</v>
      </c>
      <c r="M2393" s="3" t="str">
        <f>HYPERLINK("..\..\Imagery\ScannedPhotos\1997\CG97-133.jpg")</f>
        <v>..\..\Imagery\ScannedPhotos\1997\CG97-133.jpg</v>
      </c>
    </row>
    <row r="2394" spans="1:13" x14ac:dyDescent="0.25">
      <c r="A2394" t="s">
        <v>5990</v>
      </c>
      <c r="B2394">
        <v>404387</v>
      </c>
      <c r="C2394">
        <v>5842682</v>
      </c>
      <c r="D2394">
        <v>21</v>
      </c>
      <c r="E2394" t="s">
        <v>15</v>
      </c>
      <c r="F2394" t="s">
        <v>5991</v>
      </c>
      <c r="G2394">
        <v>1</v>
      </c>
      <c r="H2394" t="s">
        <v>1397</v>
      </c>
      <c r="I2394" t="s">
        <v>137</v>
      </c>
      <c r="J2394" t="s">
        <v>771</v>
      </c>
      <c r="K2394" t="s">
        <v>56</v>
      </c>
      <c r="L2394" t="s">
        <v>3743</v>
      </c>
      <c r="M2394" s="3" t="str">
        <f>HYPERLINK("..\..\Imagery\ScannedPhotos\1997\CG97-153.jpg")</f>
        <v>..\..\Imagery\ScannedPhotos\1997\CG97-153.jpg</v>
      </c>
    </row>
    <row r="2395" spans="1:13" x14ac:dyDescent="0.25">
      <c r="A2395" t="s">
        <v>5542</v>
      </c>
      <c r="B2395">
        <v>520399</v>
      </c>
      <c r="C2395">
        <v>5715932</v>
      </c>
      <c r="D2395">
        <v>21</v>
      </c>
      <c r="E2395" t="s">
        <v>15</v>
      </c>
      <c r="F2395" t="s">
        <v>5992</v>
      </c>
      <c r="G2395">
        <v>3</v>
      </c>
      <c r="H2395" t="s">
        <v>569</v>
      </c>
      <c r="I2395" t="s">
        <v>126</v>
      </c>
      <c r="J2395" t="s">
        <v>570</v>
      </c>
      <c r="K2395" t="s">
        <v>56</v>
      </c>
      <c r="L2395" t="s">
        <v>5544</v>
      </c>
      <c r="M2395" s="3" t="str">
        <f>HYPERLINK("..\..\Imagery\ScannedPhotos\1993\CG93-250.2.jpg")</f>
        <v>..\..\Imagery\ScannedPhotos\1993\CG93-250.2.jpg</v>
      </c>
    </row>
    <row r="2396" spans="1:13" x14ac:dyDescent="0.25">
      <c r="A2396" t="s">
        <v>5993</v>
      </c>
      <c r="B2396">
        <v>520024</v>
      </c>
      <c r="C2396">
        <v>5714595</v>
      </c>
      <c r="D2396">
        <v>21</v>
      </c>
      <c r="E2396" t="s">
        <v>15</v>
      </c>
      <c r="F2396" t="s">
        <v>5994</v>
      </c>
      <c r="G2396">
        <v>1</v>
      </c>
      <c r="H2396" t="s">
        <v>569</v>
      </c>
      <c r="I2396" t="s">
        <v>132</v>
      </c>
      <c r="J2396" t="s">
        <v>570</v>
      </c>
      <c r="K2396" t="s">
        <v>56</v>
      </c>
      <c r="L2396" t="s">
        <v>5995</v>
      </c>
      <c r="M2396" s="3" t="str">
        <f>HYPERLINK("..\..\Imagery\ScannedPhotos\1993\CG93-253.jpg")</f>
        <v>..\..\Imagery\ScannedPhotos\1993\CG93-253.jpg</v>
      </c>
    </row>
    <row r="2397" spans="1:13" x14ac:dyDescent="0.25">
      <c r="A2397" t="s">
        <v>5996</v>
      </c>
      <c r="B2397">
        <v>519990</v>
      </c>
      <c r="C2397">
        <v>5713906</v>
      </c>
      <c r="D2397">
        <v>21</v>
      </c>
      <c r="E2397" t="s">
        <v>15</v>
      </c>
      <c r="F2397" t="s">
        <v>5997</v>
      </c>
      <c r="G2397">
        <v>1</v>
      </c>
      <c r="H2397" t="s">
        <v>569</v>
      </c>
      <c r="I2397" t="s">
        <v>129</v>
      </c>
      <c r="J2397" t="s">
        <v>570</v>
      </c>
      <c r="K2397" t="s">
        <v>56</v>
      </c>
      <c r="L2397" t="s">
        <v>5998</v>
      </c>
      <c r="M2397" s="3" t="str">
        <f>HYPERLINK("..\..\Imagery\ScannedPhotos\1993\CG93-255.jpg")</f>
        <v>..\..\Imagery\ScannedPhotos\1993\CG93-255.jpg</v>
      </c>
    </row>
    <row r="2398" spans="1:13" x14ac:dyDescent="0.25">
      <c r="A2398" t="s">
        <v>5999</v>
      </c>
      <c r="B2398">
        <v>519429</v>
      </c>
      <c r="C2398">
        <v>5713281</v>
      </c>
      <c r="D2398">
        <v>21</v>
      </c>
      <c r="E2398" t="s">
        <v>15</v>
      </c>
      <c r="F2398" t="s">
        <v>6000</v>
      </c>
      <c r="G2398">
        <v>1</v>
      </c>
      <c r="H2398" t="s">
        <v>569</v>
      </c>
      <c r="I2398" t="s">
        <v>143</v>
      </c>
      <c r="J2398" t="s">
        <v>570</v>
      </c>
      <c r="K2398" t="s">
        <v>20</v>
      </c>
      <c r="L2398" t="s">
        <v>1358</v>
      </c>
      <c r="M2398" s="3" t="str">
        <f>HYPERLINK("..\..\Imagery\ScannedPhotos\1993\CG93-257.jpg")</f>
        <v>..\..\Imagery\ScannedPhotos\1993\CG93-257.jpg</v>
      </c>
    </row>
    <row r="2399" spans="1:13" x14ac:dyDescent="0.25">
      <c r="A2399" t="s">
        <v>6001</v>
      </c>
      <c r="B2399">
        <v>518596</v>
      </c>
      <c r="C2399">
        <v>5712804</v>
      </c>
      <c r="D2399">
        <v>21</v>
      </c>
      <c r="E2399" t="s">
        <v>15</v>
      </c>
      <c r="F2399" t="s">
        <v>6002</v>
      </c>
      <c r="G2399">
        <v>2</v>
      </c>
      <c r="H2399" t="s">
        <v>569</v>
      </c>
      <c r="I2399" t="s">
        <v>147</v>
      </c>
      <c r="J2399" t="s">
        <v>570</v>
      </c>
      <c r="K2399" t="s">
        <v>228</v>
      </c>
      <c r="L2399" t="s">
        <v>6003</v>
      </c>
      <c r="M2399" s="3" t="str">
        <f>HYPERLINK("..\..\Imagery\ScannedPhotos\1993\CG93-259.1.jpg")</f>
        <v>..\..\Imagery\ScannedPhotos\1993\CG93-259.1.jpg</v>
      </c>
    </row>
    <row r="2400" spans="1:13" x14ac:dyDescent="0.25">
      <c r="A2400" t="s">
        <v>6001</v>
      </c>
      <c r="B2400">
        <v>518596</v>
      </c>
      <c r="C2400">
        <v>5712804</v>
      </c>
      <c r="D2400">
        <v>21</v>
      </c>
      <c r="E2400" t="s">
        <v>15</v>
      </c>
      <c r="F2400" t="s">
        <v>6004</v>
      </c>
      <c r="G2400">
        <v>2</v>
      </c>
      <c r="H2400" t="s">
        <v>569</v>
      </c>
      <c r="I2400" t="s">
        <v>47</v>
      </c>
      <c r="J2400" t="s">
        <v>570</v>
      </c>
      <c r="K2400" t="s">
        <v>20</v>
      </c>
      <c r="L2400" t="s">
        <v>6005</v>
      </c>
      <c r="M2400" s="3" t="str">
        <f>HYPERLINK("..\..\Imagery\ScannedPhotos\1993\CG93-259.2.jpg")</f>
        <v>..\..\Imagery\ScannedPhotos\1993\CG93-259.2.jpg</v>
      </c>
    </row>
    <row r="2401" spans="1:13" x14ac:dyDescent="0.25">
      <c r="A2401" t="s">
        <v>6006</v>
      </c>
      <c r="B2401">
        <v>518568</v>
      </c>
      <c r="C2401">
        <v>5712626</v>
      </c>
      <c r="D2401">
        <v>21</v>
      </c>
      <c r="E2401" t="s">
        <v>15</v>
      </c>
      <c r="F2401" t="s">
        <v>6007</v>
      </c>
      <c r="G2401">
        <v>1</v>
      </c>
      <c r="H2401" t="s">
        <v>569</v>
      </c>
      <c r="I2401" t="s">
        <v>52</v>
      </c>
      <c r="J2401" t="s">
        <v>570</v>
      </c>
      <c r="K2401" t="s">
        <v>20</v>
      </c>
      <c r="L2401" t="s">
        <v>6008</v>
      </c>
      <c r="M2401" s="3" t="str">
        <f>HYPERLINK("..\..\Imagery\ScannedPhotos\1993\CG93-260.jpg")</f>
        <v>..\..\Imagery\ScannedPhotos\1993\CG93-260.jpg</v>
      </c>
    </row>
    <row r="2402" spans="1:13" x14ac:dyDescent="0.25">
      <c r="A2402" t="s">
        <v>6009</v>
      </c>
      <c r="B2402">
        <v>543585</v>
      </c>
      <c r="C2402">
        <v>5959981</v>
      </c>
      <c r="D2402">
        <v>21</v>
      </c>
      <c r="E2402" t="s">
        <v>15</v>
      </c>
      <c r="F2402" t="s">
        <v>6010</v>
      </c>
      <c r="G2402">
        <v>1</v>
      </c>
      <c r="H2402" t="s">
        <v>221</v>
      </c>
      <c r="I2402" t="s">
        <v>74</v>
      </c>
      <c r="J2402" t="s">
        <v>48</v>
      </c>
      <c r="K2402" t="s">
        <v>20</v>
      </c>
      <c r="L2402" t="s">
        <v>733</v>
      </c>
      <c r="M2402" s="3" t="str">
        <f>HYPERLINK("..\..\Imagery\ScannedPhotos\1981\CG81-319.jpg")</f>
        <v>..\..\Imagery\ScannedPhotos\1981\CG81-319.jpg</v>
      </c>
    </row>
    <row r="2403" spans="1:13" x14ac:dyDescent="0.25">
      <c r="A2403" t="s">
        <v>6011</v>
      </c>
      <c r="B2403">
        <v>543231</v>
      </c>
      <c r="C2403">
        <v>5960096</v>
      </c>
      <c r="D2403">
        <v>21</v>
      </c>
      <c r="E2403" t="s">
        <v>15</v>
      </c>
      <c r="F2403" t="s">
        <v>6012</v>
      </c>
      <c r="G2403">
        <v>1</v>
      </c>
      <c r="H2403" t="s">
        <v>221</v>
      </c>
      <c r="I2403" t="s">
        <v>41</v>
      </c>
      <c r="J2403" t="s">
        <v>48</v>
      </c>
      <c r="K2403" t="s">
        <v>20</v>
      </c>
      <c r="L2403" t="s">
        <v>733</v>
      </c>
      <c r="M2403" s="3" t="str">
        <f>HYPERLINK("..\..\Imagery\ScannedPhotos\1981\CG81-322.jpg")</f>
        <v>..\..\Imagery\ScannedPhotos\1981\CG81-322.jpg</v>
      </c>
    </row>
    <row r="2404" spans="1:13" x14ac:dyDescent="0.25">
      <c r="A2404" t="s">
        <v>6013</v>
      </c>
      <c r="B2404">
        <v>540715</v>
      </c>
      <c r="C2404">
        <v>5958856</v>
      </c>
      <c r="D2404">
        <v>21</v>
      </c>
      <c r="E2404" t="s">
        <v>15</v>
      </c>
      <c r="F2404" t="s">
        <v>6014</v>
      </c>
      <c r="G2404">
        <v>1</v>
      </c>
      <c r="H2404" t="s">
        <v>2733</v>
      </c>
      <c r="I2404" t="s">
        <v>30</v>
      </c>
      <c r="J2404" t="s">
        <v>814</v>
      </c>
      <c r="K2404" t="s">
        <v>228</v>
      </c>
      <c r="L2404" t="s">
        <v>6015</v>
      </c>
      <c r="M2404" s="3" t="str">
        <f>HYPERLINK("..\..\Imagery\ScannedPhotos\1981\CG81-328.jpg")</f>
        <v>..\..\Imagery\ScannedPhotos\1981\CG81-328.jpg</v>
      </c>
    </row>
    <row r="2405" spans="1:13" x14ac:dyDescent="0.25">
      <c r="A2405" t="s">
        <v>6016</v>
      </c>
      <c r="B2405">
        <v>535807</v>
      </c>
      <c r="C2405">
        <v>5958735</v>
      </c>
      <c r="D2405">
        <v>21</v>
      </c>
      <c r="E2405" t="s">
        <v>15</v>
      </c>
      <c r="F2405" t="s">
        <v>6017</v>
      </c>
      <c r="G2405">
        <v>1</v>
      </c>
      <c r="H2405" t="s">
        <v>221</v>
      </c>
      <c r="I2405" t="s">
        <v>85</v>
      </c>
      <c r="J2405" t="s">
        <v>48</v>
      </c>
      <c r="K2405" t="s">
        <v>20</v>
      </c>
      <c r="L2405" t="s">
        <v>3829</v>
      </c>
      <c r="M2405" s="3" t="str">
        <f>HYPERLINK("..\..\Imagery\ScannedPhotos\1981\CG81-335.jpg")</f>
        <v>..\..\Imagery\ScannedPhotos\1981\CG81-335.jpg</v>
      </c>
    </row>
    <row r="2406" spans="1:13" x14ac:dyDescent="0.25">
      <c r="A2406" t="s">
        <v>1505</v>
      </c>
      <c r="B2406">
        <v>569136</v>
      </c>
      <c r="C2406">
        <v>5884409</v>
      </c>
      <c r="D2406">
        <v>21</v>
      </c>
      <c r="E2406" t="s">
        <v>15</v>
      </c>
      <c r="F2406" t="s">
        <v>6018</v>
      </c>
      <c r="G2406">
        <v>7</v>
      </c>
      <c r="H2406" t="s">
        <v>1507</v>
      </c>
      <c r="I2406" t="s">
        <v>147</v>
      </c>
      <c r="J2406" t="s">
        <v>1508</v>
      </c>
      <c r="K2406" t="s">
        <v>20</v>
      </c>
      <c r="L2406" t="s">
        <v>1510</v>
      </c>
      <c r="M2406" s="3" t="str">
        <f>HYPERLINK("..\..\Imagery\ScannedPhotos\1985\GM85-497.3.jpg")</f>
        <v>..\..\Imagery\ScannedPhotos\1985\GM85-497.3.jpg</v>
      </c>
    </row>
    <row r="2407" spans="1:13" x14ac:dyDescent="0.25">
      <c r="A2407" t="s">
        <v>6019</v>
      </c>
      <c r="B2407">
        <v>580312</v>
      </c>
      <c r="C2407">
        <v>5900130</v>
      </c>
      <c r="D2407">
        <v>21</v>
      </c>
      <c r="E2407" t="s">
        <v>15</v>
      </c>
      <c r="F2407" t="s">
        <v>6020</v>
      </c>
      <c r="G2407">
        <v>3</v>
      </c>
      <c r="H2407" t="s">
        <v>136</v>
      </c>
      <c r="I2407" t="s">
        <v>647</v>
      </c>
      <c r="J2407" t="s">
        <v>138</v>
      </c>
      <c r="K2407" t="s">
        <v>20</v>
      </c>
      <c r="L2407" t="s">
        <v>6021</v>
      </c>
      <c r="M2407" s="3" t="str">
        <f>HYPERLINK("..\..\Imagery\ScannedPhotos\1985\GM85-548.1.jpg")</f>
        <v>..\..\Imagery\ScannedPhotos\1985\GM85-548.1.jpg</v>
      </c>
    </row>
    <row r="2408" spans="1:13" x14ac:dyDescent="0.25">
      <c r="A2408" t="s">
        <v>856</v>
      </c>
      <c r="B2408">
        <v>490542</v>
      </c>
      <c r="C2408">
        <v>5855198</v>
      </c>
      <c r="D2408">
        <v>21</v>
      </c>
      <c r="E2408" t="s">
        <v>15</v>
      </c>
      <c r="F2408" t="s">
        <v>6022</v>
      </c>
      <c r="G2408">
        <v>7</v>
      </c>
      <c r="H2408" t="s">
        <v>849</v>
      </c>
      <c r="I2408" t="s">
        <v>375</v>
      </c>
      <c r="J2408" t="s">
        <v>850</v>
      </c>
      <c r="K2408" t="s">
        <v>20</v>
      </c>
      <c r="L2408" t="s">
        <v>858</v>
      </c>
      <c r="M2408" s="3" t="str">
        <f>HYPERLINK("..\..\Imagery\ScannedPhotos\1991\VN91-180.1.jpg")</f>
        <v>..\..\Imagery\ScannedPhotos\1991\VN91-180.1.jpg</v>
      </c>
    </row>
    <row r="2409" spans="1:13" x14ac:dyDescent="0.25">
      <c r="A2409" t="s">
        <v>856</v>
      </c>
      <c r="B2409">
        <v>490542</v>
      </c>
      <c r="C2409">
        <v>5855198</v>
      </c>
      <c r="D2409">
        <v>21</v>
      </c>
      <c r="E2409" t="s">
        <v>15</v>
      </c>
      <c r="F2409" t="s">
        <v>6023</v>
      </c>
      <c r="G2409">
        <v>7</v>
      </c>
      <c r="H2409" t="s">
        <v>849</v>
      </c>
      <c r="I2409" t="s">
        <v>217</v>
      </c>
      <c r="J2409" t="s">
        <v>850</v>
      </c>
      <c r="K2409" t="s">
        <v>20</v>
      </c>
      <c r="L2409" t="s">
        <v>858</v>
      </c>
      <c r="M2409" s="3" t="str">
        <f>HYPERLINK("..\..\Imagery\ScannedPhotos\1991\VN91-180.5.jpg")</f>
        <v>..\..\Imagery\ScannedPhotos\1991\VN91-180.5.jpg</v>
      </c>
    </row>
    <row r="2410" spans="1:13" x14ac:dyDescent="0.25">
      <c r="A2410" t="s">
        <v>856</v>
      </c>
      <c r="B2410">
        <v>490542</v>
      </c>
      <c r="C2410">
        <v>5855198</v>
      </c>
      <c r="D2410">
        <v>21</v>
      </c>
      <c r="E2410" t="s">
        <v>15</v>
      </c>
      <c r="F2410" t="s">
        <v>6024</v>
      </c>
      <c r="G2410">
        <v>7</v>
      </c>
      <c r="H2410" t="s">
        <v>849</v>
      </c>
      <c r="I2410" t="s">
        <v>214</v>
      </c>
      <c r="J2410" t="s">
        <v>850</v>
      </c>
      <c r="K2410" t="s">
        <v>20</v>
      </c>
      <c r="L2410" t="s">
        <v>6025</v>
      </c>
      <c r="M2410" s="3" t="str">
        <f>HYPERLINK("..\..\Imagery\ScannedPhotos\1991\VN91-180.6.jpg")</f>
        <v>..\..\Imagery\ScannedPhotos\1991\VN91-180.6.jpg</v>
      </c>
    </row>
    <row r="2411" spans="1:13" x14ac:dyDescent="0.25">
      <c r="A2411" t="s">
        <v>4879</v>
      </c>
      <c r="B2411">
        <v>454994</v>
      </c>
      <c r="C2411">
        <v>6024953</v>
      </c>
      <c r="D2411">
        <v>21</v>
      </c>
      <c r="E2411" t="s">
        <v>15</v>
      </c>
      <c r="F2411" t="s">
        <v>6026</v>
      </c>
      <c r="G2411">
        <v>4</v>
      </c>
      <c r="H2411" t="s">
        <v>1862</v>
      </c>
      <c r="I2411" t="s">
        <v>85</v>
      </c>
      <c r="J2411" t="s">
        <v>1863</v>
      </c>
      <c r="K2411" t="s">
        <v>20</v>
      </c>
      <c r="L2411" t="s">
        <v>4881</v>
      </c>
      <c r="M2411" s="3" t="str">
        <f>HYPERLINK("..\..\Imagery\ScannedPhotos\1979\CG79-789.2.jpg")</f>
        <v>..\..\Imagery\ScannedPhotos\1979\CG79-789.2.jpg</v>
      </c>
    </row>
    <row r="2412" spans="1:13" x14ac:dyDescent="0.25">
      <c r="A2412" t="s">
        <v>4879</v>
      </c>
      <c r="B2412">
        <v>454994</v>
      </c>
      <c r="C2412">
        <v>6024953</v>
      </c>
      <c r="D2412">
        <v>21</v>
      </c>
      <c r="E2412" t="s">
        <v>15</v>
      </c>
      <c r="F2412" t="s">
        <v>6027</v>
      </c>
      <c r="G2412">
        <v>4</v>
      </c>
      <c r="H2412" t="s">
        <v>1862</v>
      </c>
      <c r="I2412" t="s">
        <v>94</v>
      </c>
      <c r="J2412" t="s">
        <v>1863</v>
      </c>
      <c r="K2412" t="s">
        <v>20</v>
      </c>
      <c r="L2412" t="s">
        <v>4881</v>
      </c>
      <c r="M2412" s="3" t="str">
        <f>HYPERLINK("..\..\Imagery\ScannedPhotos\1979\CG79-789.4.jpg")</f>
        <v>..\..\Imagery\ScannedPhotos\1979\CG79-789.4.jpg</v>
      </c>
    </row>
    <row r="2413" spans="1:13" x14ac:dyDescent="0.25">
      <c r="A2413" t="s">
        <v>6028</v>
      </c>
      <c r="B2413">
        <v>490320</v>
      </c>
      <c r="C2413">
        <v>5907774</v>
      </c>
      <c r="D2413">
        <v>21</v>
      </c>
      <c r="E2413" t="s">
        <v>15</v>
      </c>
      <c r="F2413" t="s">
        <v>6029</v>
      </c>
      <c r="G2413">
        <v>1</v>
      </c>
      <c r="H2413" t="s">
        <v>2895</v>
      </c>
      <c r="I2413" t="s">
        <v>360</v>
      </c>
      <c r="J2413" t="s">
        <v>2896</v>
      </c>
      <c r="K2413" t="s">
        <v>20</v>
      </c>
      <c r="L2413" t="s">
        <v>6030</v>
      </c>
      <c r="M2413" s="3" t="str">
        <f>HYPERLINK("..\..\Imagery\ScannedPhotos\1984\CG84-373.jpg")</f>
        <v>..\..\Imagery\ScannedPhotos\1984\CG84-373.jpg</v>
      </c>
    </row>
    <row r="2414" spans="1:13" x14ac:dyDescent="0.25">
      <c r="A2414" t="s">
        <v>5758</v>
      </c>
      <c r="B2414">
        <v>480167</v>
      </c>
      <c r="C2414">
        <v>5903123</v>
      </c>
      <c r="D2414">
        <v>21</v>
      </c>
      <c r="E2414" t="s">
        <v>15</v>
      </c>
      <c r="F2414" t="s">
        <v>6031</v>
      </c>
      <c r="G2414">
        <v>5</v>
      </c>
      <c r="H2414" t="s">
        <v>2895</v>
      </c>
      <c r="I2414" t="s">
        <v>647</v>
      </c>
      <c r="J2414" t="s">
        <v>2896</v>
      </c>
      <c r="K2414" t="s">
        <v>56</v>
      </c>
      <c r="L2414" t="s">
        <v>6032</v>
      </c>
      <c r="M2414" s="3" t="str">
        <f>HYPERLINK("..\..\Imagery\ScannedPhotos\1984\CG84-381.1.jpg")</f>
        <v>..\..\Imagery\ScannedPhotos\1984\CG84-381.1.jpg</v>
      </c>
    </row>
    <row r="2415" spans="1:13" x14ac:dyDescent="0.25">
      <c r="A2415" t="s">
        <v>1989</v>
      </c>
      <c r="B2415">
        <v>537953</v>
      </c>
      <c r="C2415">
        <v>5729879</v>
      </c>
      <c r="D2415">
        <v>21</v>
      </c>
      <c r="E2415" t="s">
        <v>15</v>
      </c>
      <c r="F2415" t="s">
        <v>6033</v>
      </c>
      <c r="G2415">
        <v>5</v>
      </c>
      <c r="H2415" t="s">
        <v>1061</v>
      </c>
      <c r="I2415" t="s">
        <v>129</v>
      </c>
      <c r="J2415" t="s">
        <v>1062</v>
      </c>
      <c r="K2415" t="s">
        <v>56</v>
      </c>
      <c r="L2415" t="s">
        <v>6034</v>
      </c>
      <c r="M2415" s="3" t="str">
        <f>HYPERLINK("..\..\Imagery\ScannedPhotos\1993\CG93-034.2.jpg")</f>
        <v>..\..\Imagery\ScannedPhotos\1993\CG93-034.2.jpg</v>
      </c>
    </row>
    <row r="2416" spans="1:13" x14ac:dyDescent="0.25">
      <c r="A2416" t="s">
        <v>1989</v>
      </c>
      <c r="B2416">
        <v>537953</v>
      </c>
      <c r="C2416">
        <v>5729879</v>
      </c>
      <c r="D2416">
        <v>21</v>
      </c>
      <c r="E2416" t="s">
        <v>15</v>
      </c>
      <c r="F2416" t="s">
        <v>6035</v>
      </c>
      <c r="G2416">
        <v>5</v>
      </c>
      <c r="H2416" t="s">
        <v>1061</v>
      </c>
      <c r="I2416" t="s">
        <v>47</v>
      </c>
      <c r="J2416" t="s">
        <v>1062</v>
      </c>
      <c r="K2416" t="s">
        <v>20</v>
      </c>
      <c r="L2416" t="s">
        <v>290</v>
      </c>
      <c r="M2416" s="3" t="str">
        <f>HYPERLINK("..\..\Imagery\ScannedPhotos\1993\CG93-034.5.jpg")</f>
        <v>..\..\Imagery\ScannedPhotos\1993\CG93-034.5.jpg</v>
      </c>
    </row>
    <row r="2417" spans="1:13" x14ac:dyDescent="0.25">
      <c r="A2417" t="s">
        <v>6036</v>
      </c>
      <c r="B2417">
        <v>474950</v>
      </c>
      <c r="C2417">
        <v>5853625</v>
      </c>
      <c r="D2417">
        <v>21</v>
      </c>
      <c r="E2417" t="s">
        <v>15</v>
      </c>
      <c r="F2417" t="s">
        <v>6037</v>
      </c>
      <c r="G2417">
        <v>2</v>
      </c>
      <c r="H2417" t="s">
        <v>2719</v>
      </c>
      <c r="I2417" t="s">
        <v>294</v>
      </c>
      <c r="J2417" t="s">
        <v>891</v>
      </c>
      <c r="K2417" t="s">
        <v>20</v>
      </c>
      <c r="L2417" t="s">
        <v>6038</v>
      </c>
      <c r="M2417" s="3" t="str">
        <f>HYPERLINK("..\..\Imagery\ScannedPhotos\1991\VN91-251.1.jpg")</f>
        <v>..\..\Imagery\ScannedPhotos\1991\VN91-251.1.jpg</v>
      </c>
    </row>
    <row r="2418" spans="1:13" x14ac:dyDescent="0.25">
      <c r="A2418" t="s">
        <v>6036</v>
      </c>
      <c r="B2418">
        <v>474950</v>
      </c>
      <c r="C2418">
        <v>5853625</v>
      </c>
      <c r="D2418">
        <v>21</v>
      </c>
      <c r="E2418" t="s">
        <v>15</v>
      </c>
      <c r="F2418" t="s">
        <v>6039</v>
      </c>
      <c r="G2418">
        <v>2</v>
      </c>
      <c r="H2418" t="s">
        <v>2719</v>
      </c>
      <c r="I2418" t="s">
        <v>79</v>
      </c>
      <c r="J2418" t="s">
        <v>891</v>
      </c>
      <c r="K2418" t="s">
        <v>20</v>
      </c>
      <c r="L2418" t="s">
        <v>6038</v>
      </c>
      <c r="M2418" s="3" t="str">
        <f>HYPERLINK("..\..\Imagery\ScannedPhotos\1991\VN91-251.2.jpg")</f>
        <v>..\..\Imagery\ScannedPhotos\1991\VN91-251.2.jpg</v>
      </c>
    </row>
    <row r="2419" spans="1:13" x14ac:dyDescent="0.25">
      <c r="A2419" t="s">
        <v>6040</v>
      </c>
      <c r="B2419">
        <v>474925</v>
      </c>
      <c r="C2419">
        <v>5854175</v>
      </c>
      <c r="D2419">
        <v>21</v>
      </c>
      <c r="E2419" t="s">
        <v>15</v>
      </c>
      <c r="F2419" t="s">
        <v>6041</v>
      </c>
      <c r="G2419">
        <v>2</v>
      </c>
      <c r="H2419" t="s">
        <v>2719</v>
      </c>
      <c r="I2419" t="s">
        <v>137</v>
      </c>
      <c r="J2419" t="s">
        <v>891</v>
      </c>
      <c r="K2419" t="s">
        <v>20</v>
      </c>
      <c r="L2419" t="s">
        <v>6042</v>
      </c>
      <c r="M2419" s="3" t="str">
        <f>HYPERLINK("..\..\Imagery\ScannedPhotos\1991\VN91-253.2.jpg")</f>
        <v>..\..\Imagery\ScannedPhotos\1991\VN91-253.2.jpg</v>
      </c>
    </row>
    <row r="2420" spans="1:13" x14ac:dyDescent="0.25">
      <c r="A2420" t="s">
        <v>1580</v>
      </c>
      <c r="B2420">
        <v>566412</v>
      </c>
      <c r="C2420">
        <v>5934278</v>
      </c>
      <c r="D2420">
        <v>21</v>
      </c>
      <c r="E2420" t="s">
        <v>15</v>
      </c>
      <c r="F2420" t="s">
        <v>6043</v>
      </c>
      <c r="G2420">
        <v>6</v>
      </c>
      <c r="H2420" t="s">
        <v>1582</v>
      </c>
      <c r="I2420" t="s">
        <v>35</v>
      </c>
      <c r="J2420" t="s">
        <v>1583</v>
      </c>
      <c r="K2420" t="s">
        <v>20</v>
      </c>
      <c r="L2420" t="s">
        <v>1590</v>
      </c>
      <c r="M2420" s="3" t="str">
        <f>HYPERLINK("..\..\Imagery\ScannedPhotos\1985\GM85-649.6.jpg")</f>
        <v>..\..\Imagery\ScannedPhotos\1985\GM85-649.6.jpg</v>
      </c>
    </row>
    <row r="2421" spans="1:13" x14ac:dyDescent="0.25">
      <c r="A2421" t="s">
        <v>5336</v>
      </c>
      <c r="B2421">
        <v>591836</v>
      </c>
      <c r="C2421">
        <v>5811032</v>
      </c>
      <c r="D2421">
        <v>21</v>
      </c>
      <c r="E2421" t="s">
        <v>15</v>
      </c>
      <c r="F2421" t="s">
        <v>6044</v>
      </c>
      <c r="G2421">
        <v>2</v>
      </c>
      <c r="H2421" t="s">
        <v>2916</v>
      </c>
      <c r="I2421" t="s">
        <v>304</v>
      </c>
      <c r="J2421" t="s">
        <v>797</v>
      </c>
      <c r="K2421" t="s">
        <v>20</v>
      </c>
      <c r="L2421" t="s">
        <v>6045</v>
      </c>
      <c r="M2421" s="3" t="str">
        <f>HYPERLINK("..\..\Imagery\ScannedPhotos\1987\VN87-289.1.jpg")</f>
        <v>..\..\Imagery\ScannedPhotos\1987\VN87-289.1.jpg</v>
      </c>
    </row>
    <row r="2422" spans="1:13" x14ac:dyDescent="0.25">
      <c r="A2422" t="s">
        <v>6046</v>
      </c>
      <c r="B2422">
        <v>509858</v>
      </c>
      <c r="C2422">
        <v>5856006</v>
      </c>
      <c r="D2422">
        <v>21</v>
      </c>
      <c r="E2422" t="s">
        <v>15</v>
      </c>
      <c r="F2422" t="s">
        <v>6047</v>
      </c>
      <c r="G2422">
        <v>1</v>
      </c>
      <c r="H2422" t="s">
        <v>1232</v>
      </c>
      <c r="I2422" t="s">
        <v>281</v>
      </c>
      <c r="J2422" t="s">
        <v>1233</v>
      </c>
      <c r="K2422" t="s">
        <v>56</v>
      </c>
      <c r="L2422" t="s">
        <v>6048</v>
      </c>
      <c r="M2422" s="3" t="str">
        <f>HYPERLINK("..\..\Imagery\ScannedPhotos\1986\CG86-181.jpg")</f>
        <v>..\..\Imagery\ScannedPhotos\1986\CG86-181.jpg</v>
      </c>
    </row>
    <row r="2423" spans="1:13" x14ac:dyDescent="0.25">
      <c r="A2423" t="s">
        <v>6049</v>
      </c>
      <c r="B2423">
        <v>406295</v>
      </c>
      <c r="C2423">
        <v>6003405</v>
      </c>
      <c r="D2423">
        <v>21</v>
      </c>
      <c r="E2423" t="s">
        <v>15</v>
      </c>
      <c r="F2423" t="s">
        <v>6050</v>
      </c>
      <c r="G2423">
        <v>2</v>
      </c>
      <c r="H2423" t="s">
        <v>1006</v>
      </c>
      <c r="I2423" t="s">
        <v>401</v>
      </c>
      <c r="J2423" t="s">
        <v>652</v>
      </c>
      <c r="K2423" t="s">
        <v>56</v>
      </c>
      <c r="L2423" t="s">
        <v>6051</v>
      </c>
      <c r="M2423" s="3" t="str">
        <f>HYPERLINK("..\..\Imagery\ScannedPhotos\1980\CG80-104.2.jpg")</f>
        <v>..\..\Imagery\ScannedPhotos\1980\CG80-104.2.jpg</v>
      </c>
    </row>
    <row r="2424" spans="1:13" x14ac:dyDescent="0.25">
      <c r="A2424" t="s">
        <v>6049</v>
      </c>
      <c r="B2424">
        <v>406295</v>
      </c>
      <c r="C2424">
        <v>6003405</v>
      </c>
      <c r="D2424">
        <v>21</v>
      </c>
      <c r="E2424" t="s">
        <v>15</v>
      </c>
      <c r="F2424" t="s">
        <v>6052</v>
      </c>
      <c r="G2424">
        <v>2</v>
      </c>
      <c r="H2424" t="s">
        <v>1006</v>
      </c>
      <c r="I2424" t="s">
        <v>65</v>
      </c>
      <c r="J2424" t="s">
        <v>652</v>
      </c>
      <c r="K2424" t="s">
        <v>20</v>
      </c>
      <c r="L2424" t="s">
        <v>6053</v>
      </c>
      <c r="M2424" s="3" t="str">
        <f>HYPERLINK("..\..\Imagery\ScannedPhotos\1980\CG80-104.1.jpg")</f>
        <v>..\..\Imagery\ScannedPhotos\1980\CG80-104.1.jpg</v>
      </c>
    </row>
    <row r="2425" spans="1:13" x14ac:dyDescent="0.25">
      <c r="A2425" t="s">
        <v>6054</v>
      </c>
      <c r="B2425">
        <v>405573</v>
      </c>
      <c r="C2425">
        <v>6001158</v>
      </c>
      <c r="D2425">
        <v>21</v>
      </c>
      <c r="E2425" t="s">
        <v>15</v>
      </c>
      <c r="F2425" t="s">
        <v>6055</v>
      </c>
      <c r="G2425">
        <v>1</v>
      </c>
      <c r="H2425" t="s">
        <v>1006</v>
      </c>
      <c r="I2425" t="s">
        <v>409</v>
      </c>
      <c r="J2425" t="s">
        <v>652</v>
      </c>
      <c r="K2425" t="s">
        <v>20</v>
      </c>
      <c r="L2425" t="s">
        <v>6056</v>
      </c>
      <c r="M2425" s="3" t="str">
        <f>HYPERLINK("..\..\Imagery\ScannedPhotos\1980\CG80-111.jpg")</f>
        <v>..\..\Imagery\ScannedPhotos\1980\CG80-111.jpg</v>
      </c>
    </row>
    <row r="2426" spans="1:13" x14ac:dyDescent="0.25">
      <c r="A2426" t="s">
        <v>6057</v>
      </c>
      <c r="B2426">
        <v>404232</v>
      </c>
      <c r="C2426">
        <v>6000130</v>
      </c>
      <c r="D2426">
        <v>21</v>
      </c>
      <c r="E2426" t="s">
        <v>15</v>
      </c>
      <c r="F2426" t="s">
        <v>6058</v>
      </c>
      <c r="G2426">
        <v>7</v>
      </c>
      <c r="H2426" t="s">
        <v>1156</v>
      </c>
      <c r="I2426" t="s">
        <v>294</v>
      </c>
      <c r="J2426" t="s">
        <v>652</v>
      </c>
      <c r="K2426" t="s">
        <v>535</v>
      </c>
      <c r="L2426" t="s">
        <v>6059</v>
      </c>
      <c r="M2426" s="3" t="str">
        <f>HYPERLINK("..\..\Imagery\ScannedPhotos\1980\CG80-113.2.jpg")</f>
        <v>..\..\Imagery\ScannedPhotos\1980\CG80-113.2.jpg</v>
      </c>
    </row>
    <row r="2427" spans="1:13" x14ac:dyDescent="0.25">
      <c r="A2427" t="s">
        <v>6060</v>
      </c>
      <c r="B2427">
        <v>437916</v>
      </c>
      <c r="C2427">
        <v>5988050</v>
      </c>
      <c r="D2427">
        <v>21</v>
      </c>
      <c r="E2427" t="s">
        <v>15</v>
      </c>
      <c r="F2427" t="s">
        <v>6061</v>
      </c>
      <c r="G2427">
        <v>1</v>
      </c>
      <c r="H2427" t="s">
        <v>972</v>
      </c>
      <c r="I2427" t="s">
        <v>214</v>
      </c>
      <c r="J2427" t="s">
        <v>807</v>
      </c>
      <c r="K2427" t="s">
        <v>20</v>
      </c>
      <c r="L2427" t="s">
        <v>1020</v>
      </c>
      <c r="M2427" s="3" t="str">
        <f>HYPERLINK("..\..\Imagery\ScannedPhotos\1980\RG80-186.jpg")</f>
        <v>..\..\Imagery\ScannedPhotos\1980\RG80-186.jpg</v>
      </c>
    </row>
    <row r="2428" spans="1:13" x14ac:dyDescent="0.25">
      <c r="A2428" t="s">
        <v>6062</v>
      </c>
      <c r="B2428">
        <v>411587</v>
      </c>
      <c r="C2428">
        <v>5990070</v>
      </c>
      <c r="D2428">
        <v>21</v>
      </c>
      <c r="E2428" t="s">
        <v>15</v>
      </c>
      <c r="F2428" t="s">
        <v>6063</v>
      </c>
      <c r="G2428">
        <v>3</v>
      </c>
      <c r="H2428" t="s">
        <v>972</v>
      </c>
      <c r="I2428" t="s">
        <v>195</v>
      </c>
      <c r="J2428" t="s">
        <v>807</v>
      </c>
      <c r="K2428" t="s">
        <v>20</v>
      </c>
      <c r="L2428" t="s">
        <v>6064</v>
      </c>
      <c r="M2428" s="3" t="str">
        <f>HYPERLINK("..\..\Imagery\ScannedPhotos\1980\RG80-191.3.jpg")</f>
        <v>..\..\Imagery\ScannedPhotos\1980\RG80-191.3.jpg</v>
      </c>
    </row>
    <row r="2429" spans="1:13" x14ac:dyDescent="0.25">
      <c r="A2429" t="s">
        <v>6062</v>
      </c>
      <c r="B2429">
        <v>411587</v>
      </c>
      <c r="C2429">
        <v>5990070</v>
      </c>
      <c r="D2429">
        <v>21</v>
      </c>
      <c r="E2429" t="s">
        <v>15</v>
      </c>
      <c r="F2429" t="s">
        <v>6065</v>
      </c>
      <c r="G2429">
        <v>3</v>
      </c>
      <c r="H2429" t="s">
        <v>972</v>
      </c>
      <c r="I2429" t="s">
        <v>304</v>
      </c>
      <c r="J2429" t="s">
        <v>807</v>
      </c>
      <c r="K2429" t="s">
        <v>56</v>
      </c>
      <c r="L2429" t="s">
        <v>6066</v>
      </c>
      <c r="M2429" s="3" t="str">
        <f>HYPERLINK("..\..\Imagery\ScannedPhotos\1980\RG80-191.2.jpg")</f>
        <v>..\..\Imagery\ScannedPhotos\1980\RG80-191.2.jpg</v>
      </c>
    </row>
    <row r="2430" spans="1:13" x14ac:dyDescent="0.25">
      <c r="A2430" t="s">
        <v>6062</v>
      </c>
      <c r="B2430">
        <v>411587</v>
      </c>
      <c r="C2430">
        <v>5990070</v>
      </c>
      <c r="D2430">
        <v>21</v>
      </c>
      <c r="E2430" t="s">
        <v>15</v>
      </c>
      <c r="F2430" t="s">
        <v>6067</v>
      </c>
      <c r="G2430">
        <v>3</v>
      </c>
      <c r="H2430" t="s">
        <v>972</v>
      </c>
      <c r="I2430" t="s">
        <v>418</v>
      </c>
      <c r="J2430" t="s">
        <v>807</v>
      </c>
      <c r="K2430" t="s">
        <v>20</v>
      </c>
      <c r="L2430" t="s">
        <v>6068</v>
      </c>
      <c r="M2430" s="3" t="str">
        <f>HYPERLINK("..\..\Imagery\ScannedPhotos\1980\RG80-191.1.jpg")</f>
        <v>..\..\Imagery\ScannedPhotos\1980\RG80-191.1.jpg</v>
      </c>
    </row>
    <row r="2431" spans="1:13" x14ac:dyDescent="0.25">
      <c r="A2431" t="s">
        <v>6069</v>
      </c>
      <c r="B2431">
        <v>462112</v>
      </c>
      <c r="C2431">
        <v>5898889</v>
      </c>
      <c r="D2431">
        <v>21</v>
      </c>
      <c r="E2431" t="s">
        <v>15</v>
      </c>
      <c r="F2431" t="s">
        <v>6070</v>
      </c>
      <c r="G2431">
        <v>3</v>
      </c>
      <c r="H2431" t="s">
        <v>2395</v>
      </c>
      <c r="I2431" t="s">
        <v>35</v>
      </c>
      <c r="J2431" t="s">
        <v>2247</v>
      </c>
      <c r="K2431" t="s">
        <v>20</v>
      </c>
      <c r="L2431" t="s">
        <v>6071</v>
      </c>
      <c r="M2431" s="3" t="str">
        <f>HYPERLINK("..\..\Imagery\ScannedPhotos\1984\VN84-452.3.jpg")</f>
        <v>..\..\Imagery\ScannedPhotos\1984\VN84-452.3.jpg</v>
      </c>
    </row>
    <row r="2432" spans="1:13" x14ac:dyDescent="0.25">
      <c r="A2432" t="s">
        <v>6069</v>
      </c>
      <c r="B2432">
        <v>462112</v>
      </c>
      <c r="C2432">
        <v>5898889</v>
      </c>
      <c r="D2432">
        <v>21</v>
      </c>
      <c r="E2432" t="s">
        <v>15</v>
      </c>
      <c r="F2432" t="s">
        <v>6072</v>
      </c>
      <c r="G2432">
        <v>3</v>
      </c>
      <c r="H2432" t="s">
        <v>2395</v>
      </c>
      <c r="I2432" t="s">
        <v>18</v>
      </c>
      <c r="J2432" t="s">
        <v>2247</v>
      </c>
      <c r="K2432" t="s">
        <v>20</v>
      </c>
      <c r="L2432" t="s">
        <v>6071</v>
      </c>
      <c r="M2432" s="3" t="str">
        <f>HYPERLINK("..\..\Imagery\ScannedPhotos\1984\VN84-452.2.jpg")</f>
        <v>..\..\Imagery\ScannedPhotos\1984\VN84-452.2.jpg</v>
      </c>
    </row>
    <row r="2433" spans="1:13" x14ac:dyDescent="0.25">
      <c r="A2433" t="s">
        <v>6073</v>
      </c>
      <c r="B2433">
        <v>461182</v>
      </c>
      <c r="C2433">
        <v>5897394</v>
      </c>
      <c r="D2433">
        <v>21</v>
      </c>
      <c r="E2433" t="s">
        <v>15</v>
      </c>
      <c r="F2433" t="s">
        <v>6074</v>
      </c>
      <c r="G2433">
        <v>1</v>
      </c>
      <c r="H2433" t="s">
        <v>2395</v>
      </c>
      <c r="I2433" t="s">
        <v>69</v>
      </c>
      <c r="J2433" t="s">
        <v>2247</v>
      </c>
      <c r="K2433" t="s">
        <v>20</v>
      </c>
      <c r="L2433" t="s">
        <v>6075</v>
      </c>
      <c r="M2433" s="3" t="str">
        <f>HYPERLINK("..\..\Imagery\ScannedPhotos\1984\VN84-457.jpg")</f>
        <v>..\..\Imagery\ScannedPhotos\1984\VN84-457.jpg</v>
      </c>
    </row>
    <row r="2434" spans="1:13" x14ac:dyDescent="0.25">
      <c r="A2434" t="s">
        <v>6076</v>
      </c>
      <c r="B2434">
        <v>398266</v>
      </c>
      <c r="C2434">
        <v>5907799</v>
      </c>
      <c r="D2434">
        <v>21</v>
      </c>
      <c r="E2434" t="s">
        <v>15</v>
      </c>
      <c r="F2434" t="s">
        <v>6077</v>
      </c>
      <c r="G2434">
        <v>5</v>
      </c>
      <c r="H2434" t="s">
        <v>2312</v>
      </c>
      <c r="I2434" t="s">
        <v>35</v>
      </c>
      <c r="J2434" t="s">
        <v>557</v>
      </c>
      <c r="K2434" t="s">
        <v>20</v>
      </c>
      <c r="L2434" t="s">
        <v>6078</v>
      </c>
      <c r="M2434" s="3" t="str">
        <f>HYPERLINK("..\..\Imagery\ScannedPhotos\1995\VN95-175.5.jpg")</f>
        <v>..\..\Imagery\ScannedPhotos\1995\VN95-175.5.jpg</v>
      </c>
    </row>
    <row r="2435" spans="1:13" x14ac:dyDescent="0.25">
      <c r="A2435" t="s">
        <v>6076</v>
      </c>
      <c r="B2435">
        <v>398266</v>
      </c>
      <c r="C2435">
        <v>5907799</v>
      </c>
      <c r="D2435">
        <v>21</v>
      </c>
      <c r="E2435" t="s">
        <v>15</v>
      </c>
      <c r="F2435" t="s">
        <v>6079</v>
      </c>
      <c r="G2435">
        <v>5</v>
      </c>
      <c r="H2435" t="s">
        <v>2312</v>
      </c>
      <c r="I2435" t="s">
        <v>137</v>
      </c>
      <c r="J2435" t="s">
        <v>557</v>
      </c>
      <c r="K2435" t="s">
        <v>20</v>
      </c>
      <c r="L2435" t="s">
        <v>6080</v>
      </c>
      <c r="M2435" s="3" t="str">
        <f>HYPERLINK("..\..\Imagery\ScannedPhotos\1995\VN95-175.3.jpg")</f>
        <v>..\..\Imagery\ScannedPhotos\1995\VN95-175.3.jpg</v>
      </c>
    </row>
    <row r="2436" spans="1:13" x14ac:dyDescent="0.25">
      <c r="A2436" t="s">
        <v>6076</v>
      </c>
      <c r="B2436">
        <v>398266</v>
      </c>
      <c r="C2436">
        <v>5907799</v>
      </c>
      <c r="D2436">
        <v>21</v>
      </c>
      <c r="E2436" t="s">
        <v>15</v>
      </c>
      <c r="F2436" t="s">
        <v>6081</v>
      </c>
      <c r="G2436">
        <v>5</v>
      </c>
      <c r="H2436" t="s">
        <v>2312</v>
      </c>
      <c r="I2436" t="s">
        <v>281</v>
      </c>
      <c r="J2436" t="s">
        <v>557</v>
      </c>
      <c r="K2436" t="s">
        <v>56</v>
      </c>
      <c r="L2436" t="s">
        <v>2313</v>
      </c>
      <c r="M2436" s="3" t="str">
        <f>HYPERLINK("..\..\Imagery\ScannedPhotos\1995\VN95-175.2.jpg")</f>
        <v>..\..\Imagery\ScannedPhotos\1995\VN95-175.2.jpg</v>
      </c>
    </row>
    <row r="2437" spans="1:13" x14ac:dyDescent="0.25">
      <c r="A2437" t="s">
        <v>6076</v>
      </c>
      <c r="B2437">
        <v>398266</v>
      </c>
      <c r="C2437">
        <v>5907799</v>
      </c>
      <c r="D2437">
        <v>21</v>
      </c>
      <c r="E2437" t="s">
        <v>15</v>
      </c>
      <c r="F2437" t="s">
        <v>6082</v>
      </c>
      <c r="G2437">
        <v>5</v>
      </c>
      <c r="H2437" t="s">
        <v>2312</v>
      </c>
      <c r="I2437" t="s">
        <v>79</v>
      </c>
      <c r="J2437" t="s">
        <v>557</v>
      </c>
      <c r="K2437" t="s">
        <v>56</v>
      </c>
      <c r="L2437" t="s">
        <v>2313</v>
      </c>
      <c r="M2437" s="3" t="str">
        <f>HYPERLINK("..\..\Imagery\ScannedPhotos\1995\VN95-175.1.jpg")</f>
        <v>..\..\Imagery\ScannedPhotos\1995\VN95-175.1.jpg</v>
      </c>
    </row>
    <row r="2438" spans="1:13" x14ac:dyDescent="0.25">
      <c r="A2438" t="s">
        <v>6083</v>
      </c>
      <c r="B2438">
        <v>525077</v>
      </c>
      <c r="C2438">
        <v>5952750</v>
      </c>
      <c r="D2438">
        <v>21</v>
      </c>
      <c r="E2438" t="s">
        <v>15</v>
      </c>
      <c r="F2438" t="s">
        <v>6084</v>
      </c>
      <c r="G2438">
        <v>2</v>
      </c>
      <c r="H2438" t="s">
        <v>718</v>
      </c>
      <c r="I2438" t="s">
        <v>294</v>
      </c>
      <c r="J2438" t="s">
        <v>48</v>
      </c>
      <c r="K2438" t="s">
        <v>20</v>
      </c>
      <c r="L2438" t="s">
        <v>6085</v>
      </c>
      <c r="M2438" s="3" t="str">
        <f>HYPERLINK("..\..\Imagery\ScannedPhotos\1981\VO81-089.1.jpg")</f>
        <v>..\..\Imagery\ScannedPhotos\1981\VO81-089.1.jpg</v>
      </c>
    </row>
    <row r="2439" spans="1:13" x14ac:dyDescent="0.25">
      <c r="A2439" t="s">
        <v>6086</v>
      </c>
      <c r="B2439">
        <v>501295</v>
      </c>
      <c r="C2439">
        <v>5965616</v>
      </c>
      <c r="D2439">
        <v>21</v>
      </c>
      <c r="E2439" t="s">
        <v>15</v>
      </c>
      <c r="F2439" t="s">
        <v>6087</v>
      </c>
      <c r="G2439">
        <v>3</v>
      </c>
      <c r="H2439" t="s">
        <v>1197</v>
      </c>
      <c r="I2439" t="s">
        <v>375</v>
      </c>
      <c r="J2439" t="s">
        <v>48</v>
      </c>
      <c r="K2439" t="s">
        <v>20</v>
      </c>
      <c r="L2439" t="s">
        <v>6088</v>
      </c>
      <c r="M2439" s="3" t="str">
        <f>HYPERLINK("..\..\Imagery\ScannedPhotos\1981\CG81-748.2.jpg")</f>
        <v>..\..\Imagery\ScannedPhotos\1981\CG81-748.2.jpg</v>
      </c>
    </row>
    <row r="2440" spans="1:13" x14ac:dyDescent="0.25">
      <c r="A2440" t="s">
        <v>6089</v>
      </c>
      <c r="B2440">
        <v>539434</v>
      </c>
      <c r="C2440">
        <v>5731121</v>
      </c>
      <c r="D2440">
        <v>21</v>
      </c>
      <c r="E2440" t="s">
        <v>15</v>
      </c>
      <c r="F2440" t="s">
        <v>6090</v>
      </c>
      <c r="G2440">
        <v>1</v>
      </c>
      <c r="H2440" t="s">
        <v>3597</v>
      </c>
      <c r="I2440" t="s">
        <v>418</v>
      </c>
      <c r="J2440" t="s">
        <v>3598</v>
      </c>
      <c r="K2440" t="s">
        <v>56</v>
      </c>
      <c r="L2440" t="s">
        <v>6091</v>
      </c>
      <c r="M2440" s="3" t="str">
        <f>HYPERLINK("..\..\Imagery\ScannedPhotos\1993\VN93-032.jpg")</f>
        <v>..\..\Imagery\ScannedPhotos\1993\VN93-032.jpg</v>
      </c>
    </row>
    <row r="2441" spans="1:13" x14ac:dyDescent="0.25">
      <c r="A2441" t="s">
        <v>6092</v>
      </c>
      <c r="B2441">
        <v>504164</v>
      </c>
      <c r="C2441">
        <v>5765680</v>
      </c>
      <c r="D2441">
        <v>21</v>
      </c>
      <c r="E2441" t="s">
        <v>15</v>
      </c>
      <c r="F2441" t="s">
        <v>6093</v>
      </c>
      <c r="G2441">
        <v>1</v>
      </c>
      <c r="H2441" t="s">
        <v>796</v>
      </c>
      <c r="I2441" t="s">
        <v>65</v>
      </c>
      <c r="J2441" t="s">
        <v>797</v>
      </c>
      <c r="K2441" t="s">
        <v>20</v>
      </c>
      <c r="L2441" t="s">
        <v>6094</v>
      </c>
      <c r="M2441" s="3" t="str">
        <f>HYPERLINK("..\..\Imagery\ScannedPhotos\1987\JS87-262.jpg")</f>
        <v>..\..\Imagery\ScannedPhotos\1987\JS87-262.jpg</v>
      </c>
    </row>
    <row r="2442" spans="1:13" x14ac:dyDescent="0.25">
      <c r="A2442" t="s">
        <v>3772</v>
      </c>
      <c r="B2442">
        <v>537251</v>
      </c>
      <c r="C2442">
        <v>5728181</v>
      </c>
      <c r="D2442">
        <v>21</v>
      </c>
      <c r="E2442" t="s">
        <v>15</v>
      </c>
      <c r="F2442" t="s">
        <v>6095</v>
      </c>
      <c r="G2442">
        <v>4</v>
      </c>
      <c r="H2442" t="s">
        <v>2418</v>
      </c>
      <c r="I2442" t="s">
        <v>79</v>
      </c>
      <c r="J2442" t="s">
        <v>570</v>
      </c>
      <c r="K2442" t="s">
        <v>56</v>
      </c>
      <c r="L2442" t="s">
        <v>6096</v>
      </c>
      <c r="M2442" s="3" t="str">
        <f>HYPERLINK("..\..\Imagery\ScannedPhotos\1993\VN93-095.1.jpg")</f>
        <v>..\..\Imagery\ScannedPhotos\1993\VN93-095.1.jpg</v>
      </c>
    </row>
    <row r="2443" spans="1:13" x14ac:dyDescent="0.25">
      <c r="A2443" t="s">
        <v>3772</v>
      </c>
      <c r="B2443">
        <v>537251</v>
      </c>
      <c r="C2443">
        <v>5728181</v>
      </c>
      <c r="D2443">
        <v>21</v>
      </c>
      <c r="E2443" t="s">
        <v>15</v>
      </c>
      <c r="F2443" t="s">
        <v>6097</v>
      </c>
      <c r="G2443">
        <v>4</v>
      </c>
      <c r="H2443" t="s">
        <v>2418</v>
      </c>
      <c r="I2443" t="s">
        <v>281</v>
      </c>
      <c r="J2443" t="s">
        <v>570</v>
      </c>
      <c r="K2443" t="s">
        <v>56</v>
      </c>
      <c r="L2443" t="s">
        <v>6098</v>
      </c>
      <c r="M2443" s="3" t="str">
        <f>HYPERLINK("..\..\Imagery\ScannedPhotos\1993\VN93-095.2.jpg")</f>
        <v>..\..\Imagery\ScannedPhotos\1993\VN93-095.2.jpg</v>
      </c>
    </row>
    <row r="2444" spans="1:13" x14ac:dyDescent="0.25">
      <c r="A2444" t="s">
        <v>6099</v>
      </c>
      <c r="B2444">
        <v>468343</v>
      </c>
      <c r="C2444">
        <v>5910377</v>
      </c>
      <c r="D2444">
        <v>21</v>
      </c>
      <c r="E2444" t="s">
        <v>15</v>
      </c>
      <c r="F2444" t="s">
        <v>6100</v>
      </c>
      <c r="G2444">
        <v>6</v>
      </c>
      <c r="H2444" t="s">
        <v>1333</v>
      </c>
      <c r="I2444" t="s">
        <v>418</v>
      </c>
      <c r="J2444" t="s">
        <v>1334</v>
      </c>
      <c r="K2444" t="s">
        <v>56</v>
      </c>
      <c r="L2444" t="s">
        <v>6101</v>
      </c>
      <c r="M2444" s="3" t="str">
        <f>HYPERLINK("..\..\Imagery\ScannedPhotos\1984\CG84-147.3.jpg")</f>
        <v>..\..\Imagery\ScannedPhotos\1984\CG84-147.3.jpg</v>
      </c>
    </row>
    <row r="2445" spans="1:13" x14ac:dyDescent="0.25">
      <c r="A2445" t="s">
        <v>6099</v>
      </c>
      <c r="B2445">
        <v>468343</v>
      </c>
      <c r="C2445">
        <v>5910377</v>
      </c>
      <c r="D2445">
        <v>21</v>
      </c>
      <c r="E2445" t="s">
        <v>15</v>
      </c>
      <c r="F2445" t="s">
        <v>6102</v>
      </c>
      <c r="G2445">
        <v>6</v>
      </c>
      <c r="H2445" t="s">
        <v>1333</v>
      </c>
      <c r="I2445" t="s">
        <v>222</v>
      </c>
      <c r="J2445" t="s">
        <v>1334</v>
      </c>
      <c r="K2445" t="s">
        <v>20</v>
      </c>
      <c r="L2445" t="s">
        <v>6103</v>
      </c>
      <c r="M2445" s="3" t="str">
        <f>HYPERLINK("..\..\Imagery\ScannedPhotos\1984\CG84-147.2.jpg")</f>
        <v>..\..\Imagery\ScannedPhotos\1984\CG84-147.2.jpg</v>
      </c>
    </row>
    <row r="2446" spans="1:13" x14ac:dyDescent="0.25">
      <c r="A2446" t="s">
        <v>6099</v>
      </c>
      <c r="B2446">
        <v>468343</v>
      </c>
      <c r="C2446">
        <v>5910377</v>
      </c>
      <c r="D2446">
        <v>21</v>
      </c>
      <c r="E2446" t="s">
        <v>15</v>
      </c>
      <c r="F2446" t="s">
        <v>6104</v>
      </c>
      <c r="G2446">
        <v>6</v>
      </c>
      <c r="H2446" t="s">
        <v>1333</v>
      </c>
      <c r="I2446" t="s">
        <v>214</v>
      </c>
      <c r="J2446" t="s">
        <v>1334</v>
      </c>
      <c r="K2446" t="s">
        <v>56</v>
      </c>
      <c r="L2446" t="s">
        <v>6105</v>
      </c>
      <c r="M2446" s="3" t="str">
        <f>HYPERLINK("..\..\Imagery\ScannedPhotos\1984\CG84-147.1.jpg")</f>
        <v>..\..\Imagery\ScannedPhotos\1984\CG84-147.1.jpg</v>
      </c>
    </row>
    <row r="2447" spans="1:13" x14ac:dyDescent="0.25">
      <c r="A2447" t="s">
        <v>6106</v>
      </c>
      <c r="B2447">
        <v>453814</v>
      </c>
      <c r="C2447">
        <v>5907584</v>
      </c>
      <c r="D2447">
        <v>21</v>
      </c>
      <c r="E2447" t="s">
        <v>15</v>
      </c>
      <c r="F2447" t="s">
        <v>6107</v>
      </c>
      <c r="G2447">
        <v>2</v>
      </c>
      <c r="H2447" t="s">
        <v>1333</v>
      </c>
      <c r="I2447" t="s">
        <v>35</v>
      </c>
      <c r="J2447" t="s">
        <v>1334</v>
      </c>
      <c r="K2447" t="s">
        <v>20</v>
      </c>
      <c r="L2447" t="s">
        <v>6108</v>
      </c>
      <c r="M2447" s="3" t="str">
        <f>HYPERLINK("..\..\Imagery\ScannedPhotos\1984\CG84-153.1.jpg")</f>
        <v>..\..\Imagery\ScannedPhotos\1984\CG84-153.1.jpg</v>
      </c>
    </row>
    <row r="2448" spans="1:13" x14ac:dyDescent="0.25">
      <c r="A2448" t="s">
        <v>6106</v>
      </c>
      <c r="B2448">
        <v>453814</v>
      </c>
      <c r="C2448">
        <v>5907584</v>
      </c>
      <c r="D2448">
        <v>21</v>
      </c>
      <c r="E2448" t="s">
        <v>15</v>
      </c>
      <c r="F2448" t="s">
        <v>6109</v>
      </c>
      <c r="G2448">
        <v>2</v>
      </c>
      <c r="H2448" t="s">
        <v>1333</v>
      </c>
      <c r="I2448" t="s">
        <v>25</v>
      </c>
      <c r="J2448" t="s">
        <v>1334</v>
      </c>
      <c r="K2448" t="s">
        <v>20</v>
      </c>
      <c r="L2448" t="s">
        <v>6110</v>
      </c>
      <c r="M2448" s="3" t="str">
        <f>HYPERLINK("..\..\Imagery\ScannedPhotos\1984\CG84-153.2.jpg")</f>
        <v>..\..\Imagery\ScannedPhotos\1984\CG84-153.2.jpg</v>
      </c>
    </row>
    <row r="2449" spans="1:13" x14ac:dyDescent="0.25">
      <c r="A2449" t="s">
        <v>6111</v>
      </c>
      <c r="B2449">
        <v>453532</v>
      </c>
      <c r="C2449">
        <v>5906847</v>
      </c>
      <c r="D2449">
        <v>21</v>
      </c>
      <c r="E2449" t="s">
        <v>15</v>
      </c>
      <c r="F2449" t="s">
        <v>6112</v>
      </c>
      <c r="G2449">
        <v>1</v>
      </c>
      <c r="H2449" t="s">
        <v>1333</v>
      </c>
      <c r="I2449" t="s">
        <v>360</v>
      </c>
      <c r="J2449" t="s">
        <v>1334</v>
      </c>
      <c r="K2449" t="s">
        <v>20</v>
      </c>
      <c r="L2449" t="s">
        <v>6113</v>
      </c>
      <c r="M2449" s="3" t="str">
        <f>HYPERLINK("..\..\Imagery\ScannedPhotos\1984\CG84-155.jpg")</f>
        <v>..\..\Imagery\ScannedPhotos\1984\CG84-155.jpg</v>
      </c>
    </row>
    <row r="2450" spans="1:13" x14ac:dyDescent="0.25">
      <c r="A2450" t="s">
        <v>6114</v>
      </c>
      <c r="B2450">
        <v>387643</v>
      </c>
      <c r="C2450">
        <v>5823179</v>
      </c>
      <c r="D2450">
        <v>21</v>
      </c>
      <c r="E2450" t="s">
        <v>15</v>
      </c>
      <c r="F2450" t="s">
        <v>6115</v>
      </c>
      <c r="G2450">
        <v>3</v>
      </c>
      <c r="H2450" t="s">
        <v>770</v>
      </c>
      <c r="I2450" t="s">
        <v>85</v>
      </c>
      <c r="J2450" t="s">
        <v>771</v>
      </c>
      <c r="K2450" t="s">
        <v>20</v>
      </c>
      <c r="L2450" t="s">
        <v>6116</v>
      </c>
      <c r="M2450" s="3" t="str">
        <f>HYPERLINK("..\..\Imagery\ScannedPhotos\1997\CG97-299.2.jpg")</f>
        <v>..\..\Imagery\ScannedPhotos\1997\CG97-299.2.jpg</v>
      </c>
    </row>
    <row r="2451" spans="1:13" x14ac:dyDescent="0.25">
      <c r="A2451" t="s">
        <v>6114</v>
      </c>
      <c r="B2451">
        <v>387643</v>
      </c>
      <c r="C2451">
        <v>5823179</v>
      </c>
      <c r="D2451">
        <v>21</v>
      </c>
      <c r="E2451" t="s">
        <v>15</v>
      </c>
      <c r="F2451" t="s">
        <v>6117</v>
      </c>
      <c r="G2451">
        <v>3</v>
      </c>
      <c r="H2451" t="s">
        <v>770</v>
      </c>
      <c r="I2451" t="s">
        <v>79</v>
      </c>
      <c r="J2451" t="s">
        <v>771</v>
      </c>
      <c r="K2451" t="s">
        <v>56</v>
      </c>
      <c r="L2451" t="s">
        <v>6118</v>
      </c>
      <c r="M2451" s="3" t="str">
        <f>HYPERLINK("..\..\Imagery\ScannedPhotos\1997\CG97-299.1.jpg")</f>
        <v>..\..\Imagery\ScannedPhotos\1997\CG97-299.1.jpg</v>
      </c>
    </row>
    <row r="2452" spans="1:13" x14ac:dyDescent="0.25">
      <c r="A2452" t="s">
        <v>1039</v>
      </c>
      <c r="B2452">
        <v>497507</v>
      </c>
      <c r="C2452">
        <v>5819366</v>
      </c>
      <c r="D2452">
        <v>21</v>
      </c>
      <c r="E2452" t="s">
        <v>15</v>
      </c>
      <c r="F2452" t="s">
        <v>6119</v>
      </c>
      <c r="G2452">
        <v>8</v>
      </c>
      <c r="H2452" t="s">
        <v>968</v>
      </c>
      <c r="I2452" t="s">
        <v>129</v>
      </c>
      <c r="J2452" t="s">
        <v>42</v>
      </c>
      <c r="K2452" t="s">
        <v>20</v>
      </c>
      <c r="L2452" t="s">
        <v>6120</v>
      </c>
      <c r="M2452" s="3" t="str">
        <f>HYPERLINK("..\..\Imagery\ScannedPhotos\1991\VN91-020.3.jpg")</f>
        <v>..\..\Imagery\ScannedPhotos\1991\VN91-020.3.jpg</v>
      </c>
    </row>
    <row r="2453" spans="1:13" x14ac:dyDescent="0.25">
      <c r="A2453" t="s">
        <v>1039</v>
      </c>
      <c r="B2453">
        <v>497507</v>
      </c>
      <c r="C2453">
        <v>5819366</v>
      </c>
      <c r="D2453">
        <v>21</v>
      </c>
      <c r="E2453" t="s">
        <v>15</v>
      </c>
      <c r="F2453" t="s">
        <v>6121</v>
      </c>
      <c r="G2453">
        <v>8</v>
      </c>
      <c r="H2453" t="s">
        <v>968</v>
      </c>
      <c r="I2453" t="s">
        <v>47</v>
      </c>
      <c r="J2453" t="s">
        <v>42</v>
      </c>
      <c r="K2453" t="s">
        <v>20</v>
      </c>
      <c r="L2453" t="s">
        <v>6122</v>
      </c>
      <c r="M2453" s="3" t="str">
        <f>HYPERLINK("..\..\Imagery\ScannedPhotos\1991\VN91-020.5.jpg")</f>
        <v>..\..\Imagery\ScannedPhotos\1991\VN91-020.5.jpg</v>
      </c>
    </row>
    <row r="2454" spans="1:13" x14ac:dyDescent="0.25">
      <c r="A2454" t="s">
        <v>6123</v>
      </c>
      <c r="B2454">
        <v>461979</v>
      </c>
      <c r="C2454">
        <v>6028982</v>
      </c>
      <c r="D2454">
        <v>21</v>
      </c>
      <c r="E2454" t="s">
        <v>15</v>
      </c>
      <c r="F2454" t="s">
        <v>6124</v>
      </c>
      <c r="G2454">
        <v>2</v>
      </c>
      <c r="H2454" t="s">
        <v>5502</v>
      </c>
      <c r="I2454" t="s">
        <v>126</v>
      </c>
      <c r="J2454" t="s">
        <v>691</v>
      </c>
      <c r="K2454" t="s">
        <v>20</v>
      </c>
      <c r="L2454" t="s">
        <v>6125</v>
      </c>
      <c r="M2454" s="3" t="str">
        <f>HYPERLINK("..\..\Imagery\ScannedPhotos\1979\CG79-759.1.jpg")</f>
        <v>..\..\Imagery\ScannedPhotos\1979\CG79-759.1.jpg</v>
      </c>
    </row>
    <row r="2455" spans="1:13" x14ac:dyDescent="0.25">
      <c r="A2455" t="s">
        <v>6126</v>
      </c>
      <c r="B2455">
        <v>500522</v>
      </c>
      <c r="C2455">
        <v>5950978</v>
      </c>
      <c r="D2455">
        <v>21</v>
      </c>
      <c r="E2455" t="s">
        <v>15</v>
      </c>
      <c r="F2455" t="s">
        <v>6127</v>
      </c>
      <c r="G2455">
        <v>7</v>
      </c>
      <c r="K2455" t="s">
        <v>228</v>
      </c>
      <c r="L2455" t="s">
        <v>6128</v>
      </c>
      <c r="M2455" s="3" t="str">
        <f>HYPERLINK("..\..\Imagery\ScannedPhotos\2004\CG04-278.5.jpg")</f>
        <v>..\..\Imagery\ScannedPhotos\2004\CG04-278.5.jpg</v>
      </c>
    </row>
    <row r="2456" spans="1:13" x14ac:dyDescent="0.25">
      <c r="A2456" t="s">
        <v>688</v>
      </c>
      <c r="B2456">
        <v>425864</v>
      </c>
      <c r="C2456">
        <v>6052992</v>
      </c>
      <c r="D2456">
        <v>21</v>
      </c>
      <c r="E2456" t="s">
        <v>15</v>
      </c>
      <c r="F2456" t="s">
        <v>6129</v>
      </c>
      <c r="G2456">
        <v>4</v>
      </c>
      <c r="H2456" t="s">
        <v>690</v>
      </c>
      <c r="I2456" t="s">
        <v>137</v>
      </c>
      <c r="J2456" t="s">
        <v>691</v>
      </c>
      <c r="K2456" t="s">
        <v>20</v>
      </c>
      <c r="L2456" t="s">
        <v>692</v>
      </c>
      <c r="M2456" s="3" t="str">
        <f>HYPERLINK("..\..\Imagery\ScannedPhotos\1979\AD79-295.3.jpg")</f>
        <v>..\..\Imagery\ScannedPhotos\1979\AD79-295.3.jpg</v>
      </c>
    </row>
    <row r="2457" spans="1:13" x14ac:dyDescent="0.25">
      <c r="A2457" t="s">
        <v>688</v>
      </c>
      <c r="B2457">
        <v>425864</v>
      </c>
      <c r="C2457">
        <v>6052992</v>
      </c>
      <c r="D2457">
        <v>21</v>
      </c>
      <c r="E2457" t="s">
        <v>15</v>
      </c>
      <c r="F2457" t="s">
        <v>6130</v>
      </c>
      <c r="G2457">
        <v>4</v>
      </c>
      <c r="H2457" t="s">
        <v>690</v>
      </c>
      <c r="I2457" t="s">
        <v>18</v>
      </c>
      <c r="J2457" t="s">
        <v>691</v>
      </c>
      <c r="K2457" t="s">
        <v>20</v>
      </c>
      <c r="L2457" t="s">
        <v>6131</v>
      </c>
      <c r="M2457" s="3" t="str">
        <f>HYPERLINK("..\..\Imagery\ScannedPhotos\1979\AD79-295.4.jpg")</f>
        <v>..\..\Imagery\ScannedPhotos\1979\AD79-295.4.jpg</v>
      </c>
    </row>
    <row r="2458" spans="1:13" x14ac:dyDescent="0.25">
      <c r="A2458" t="s">
        <v>6132</v>
      </c>
      <c r="B2458">
        <v>425434</v>
      </c>
      <c r="C2458">
        <v>6056515</v>
      </c>
      <c r="D2458">
        <v>21</v>
      </c>
      <c r="E2458" t="s">
        <v>15</v>
      </c>
      <c r="F2458" t="s">
        <v>6133</v>
      </c>
      <c r="G2458">
        <v>1</v>
      </c>
      <c r="H2458" t="s">
        <v>690</v>
      </c>
      <c r="I2458" t="s">
        <v>41</v>
      </c>
      <c r="J2458" t="s">
        <v>691</v>
      </c>
      <c r="K2458" t="s">
        <v>20</v>
      </c>
      <c r="L2458" t="s">
        <v>6134</v>
      </c>
      <c r="M2458" s="3" t="str">
        <f>HYPERLINK("..\..\Imagery\ScannedPhotos\1979\AD79-302.jpg")</f>
        <v>..\..\Imagery\ScannedPhotos\1979\AD79-302.jpg</v>
      </c>
    </row>
    <row r="2459" spans="1:13" x14ac:dyDescent="0.25">
      <c r="A2459" t="s">
        <v>1336</v>
      </c>
      <c r="B2459">
        <v>545893</v>
      </c>
      <c r="C2459">
        <v>5733137</v>
      </c>
      <c r="D2459">
        <v>21</v>
      </c>
      <c r="E2459" t="s">
        <v>15</v>
      </c>
      <c r="F2459" t="s">
        <v>6135</v>
      </c>
      <c r="G2459">
        <v>3</v>
      </c>
      <c r="H2459" t="s">
        <v>1338</v>
      </c>
      <c r="I2459" t="s">
        <v>132</v>
      </c>
      <c r="J2459" t="s">
        <v>570</v>
      </c>
      <c r="K2459" t="s">
        <v>20</v>
      </c>
      <c r="L2459" t="s">
        <v>1339</v>
      </c>
      <c r="M2459" s="3" t="str">
        <f>HYPERLINK("..\..\Imagery\ScannedPhotos\1993\VN93-218.2.jpg")</f>
        <v>..\..\Imagery\ScannedPhotos\1993\VN93-218.2.jpg</v>
      </c>
    </row>
    <row r="2460" spans="1:13" x14ac:dyDescent="0.25">
      <c r="A2460" t="s">
        <v>6136</v>
      </c>
      <c r="B2460">
        <v>545871</v>
      </c>
      <c r="C2460">
        <v>5733316</v>
      </c>
      <c r="D2460">
        <v>21</v>
      </c>
      <c r="E2460" t="s">
        <v>15</v>
      </c>
      <c r="F2460" t="s">
        <v>6137</v>
      </c>
      <c r="G2460">
        <v>3</v>
      </c>
      <c r="H2460" t="s">
        <v>1338</v>
      </c>
      <c r="I2460" t="s">
        <v>47</v>
      </c>
      <c r="J2460" t="s">
        <v>570</v>
      </c>
      <c r="K2460" t="s">
        <v>20</v>
      </c>
      <c r="L2460" t="s">
        <v>6138</v>
      </c>
      <c r="M2460" s="3" t="str">
        <f>HYPERLINK("..\..\Imagery\ScannedPhotos\1993\VN93-219.3.jpg")</f>
        <v>..\..\Imagery\ScannedPhotos\1993\VN93-219.3.jpg</v>
      </c>
    </row>
    <row r="2461" spans="1:13" x14ac:dyDescent="0.25">
      <c r="A2461" t="s">
        <v>6139</v>
      </c>
      <c r="B2461">
        <v>479151</v>
      </c>
      <c r="C2461">
        <v>5915217</v>
      </c>
      <c r="D2461">
        <v>21</v>
      </c>
      <c r="E2461" t="s">
        <v>15</v>
      </c>
      <c r="F2461" t="s">
        <v>6140</v>
      </c>
      <c r="G2461">
        <v>3</v>
      </c>
      <c r="K2461" t="s">
        <v>109</v>
      </c>
      <c r="L2461" t="s">
        <v>6141</v>
      </c>
      <c r="M2461" s="3" t="str">
        <f>HYPERLINK("..\..\Imagery\ScannedPhotos\2004\CG04-197.3.jpg")</f>
        <v>..\..\Imagery\ScannedPhotos\2004\CG04-197.3.jpg</v>
      </c>
    </row>
    <row r="2462" spans="1:13" x14ac:dyDescent="0.25">
      <c r="A2462" t="s">
        <v>6139</v>
      </c>
      <c r="B2462">
        <v>479151</v>
      </c>
      <c r="C2462">
        <v>5915217</v>
      </c>
      <c r="D2462">
        <v>21</v>
      </c>
      <c r="E2462" t="s">
        <v>15</v>
      </c>
      <c r="F2462" t="s">
        <v>6142</v>
      </c>
      <c r="G2462">
        <v>3</v>
      </c>
      <c r="K2462" t="s">
        <v>109</v>
      </c>
      <c r="L2462" t="s">
        <v>6143</v>
      </c>
      <c r="M2462" s="3" t="str">
        <f>HYPERLINK("..\..\Imagery\ScannedPhotos\2004\CG04-197.1.jpg")</f>
        <v>..\..\Imagery\ScannedPhotos\2004\CG04-197.1.jpg</v>
      </c>
    </row>
    <row r="2463" spans="1:13" x14ac:dyDescent="0.25">
      <c r="A2463" t="s">
        <v>6139</v>
      </c>
      <c r="B2463">
        <v>479151</v>
      </c>
      <c r="C2463">
        <v>5915217</v>
      </c>
      <c r="D2463">
        <v>21</v>
      </c>
      <c r="E2463" t="s">
        <v>15</v>
      </c>
      <c r="F2463" t="s">
        <v>6144</v>
      </c>
      <c r="G2463">
        <v>3</v>
      </c>
      <c r="K2463" t="s">
        <v>109</v>
      </c>
      <c r="L2463" t="s">
        <v>6143</v>
      </c>
      <c r="M2463" s="3" t="str">
        <f>HYPERLINK("..\..\Imagery\ScannedPhotos\2004\CG04-197.2.jpg")</f>
        <v>..\..\Imagery\ScannedPhotos\2004\CG04-197.2.jpg</v>
      </c>
    </row>
    <row r="2464" spans="1:13" x14ac:dyDescent="0.25">
      <c r="A2464" t="s">
        <v>6145</v>
      </c>
      <c r="B2464">
        <v>550211</v>
      </c>
      <c r="C2464">
        <v>5824448</v>
      </c>
      <c r="D2464">
        <v>21</v>
      </c>
      <c r="E2464" t="s">
        <v>15</v>
      </c>
      <c r="F2464" t="s">
        <v>6146</v>
      </c>
      <c r="G2464">
        <v>1</v>
      </c>
      <c r="H2464" t="s">
        <v>2325</v>
      </c>
      <c r="I2464" t="s">
        <v>74</v>
      </c>
      <c r="J2464" t="s">
        <v>2019</v>
      </c>
      <c r="K2464" t="s">
        <v>20</v>
      </c>
      <c r="L2464" t="s">
        <v>915</v>
      </c>
      <c r="M2464" s="3" t="str">
        <f>HYPERLINK("..\..\Imagery\ScannedPhotos\1986\MN86-016.jpg")</f>
        <v>..\..\Imagery\ScannedPhotos\1986\MN86-016.jpg</v>
      </c>
    </row>
    <row r="2465" spans="1:13" x14ac:dyDescent="0.25">
      <c r="A2465" t="s">
        <v>6147</v>
      </c>
      <c r="B2465">
        <v>559283</v>
      </c>
      <c r="C2465">
        <v>5825528</v>
      </c>
      <c r="D2465">
        <v>21</v>
      </c>
      <c r="E2465" t="s">
        <v>15</v>
      </c>
      <c r="F2465" t="s">
        <v>6148</v>
      </c>
      <c r="G2465">
        <v>1</v>
      </c>
      <c r="H2465" t="s">
        <v>2325</v>
      </c>
      <c r="I2465" t="s">
        <v>41</v>
      </c>
      <c r="J2465" t="s">
        <v>2019</v>
      </c>
      <c r="K2465" t="s">
        <v>20</v>
      </c>
      <c r="L2465" t="s">
        <v>6149</v>
      </c>
      <c r="M2465" s="3" t="str">
        <f>HYPERLINK("..\..\Imagery\ScannedPhotos\1986\MN86-026.jpg")</f>
        <v>..\..\Imagery\ScannedPhotos\1986\MN86-026.jpg</v>
      </c>
    </row>
    <row r="2466" spans="1:13" x14ac:dyDescent="0.25">
      <c r="A2466" t="s">
        <v>6150</v>
      </c>
      <c r="B2466">
        <v>559504</v>
      </c>
      <c r="C2466">
        <v>5827072</v>
      </c>
      <c r="D2466">
        <v>21</v>
      </c>
      <c r="E2466" t="s">
        <v>15</v>
      </c>
      <c r="F2466" t="s">
        <v>6151</v>
      </c>
      <c r="G2466">
        <v>2</v>
      </c>
      <c r="H2466" t="s">
        <v>2325</v>
      </c>
      <c r="I2466" t="s">
        <v>375</v>
      </c>
      <c r="J2466" t="s">
        <v>2019</v>
      </c>
      <c r="K2466" t="s">
        <v>20</v>
      </c>
      <c r="L2466" t="s">
        <v>6152</v>
      </c>
      <c r="M2466" s="3" t="str">
        <f>HYPERLINK("..\..\Imagery\ScannedPhotos\1986\MN86-028.2.jpg")</f>
        <v>..\..\Imagery\ScannedPhotos\1986\MN86-028.2.jpg</v>
      </c>
    </row>
    <row r="2467" spans="1:13" x14ac:dyDescent="0.25">
      <c r="A2467" t="s">
        <v>6150</v>
      </c>
      <c r="B2467">
        <v>559504</v>
      </c>
      <c r="C2467">
        <v>5827072</v>
      </c>
      <c r="D2467">
        <v>21</v>
      </c>
      <c r="E2467" t="s">
        <v>15</v>
      </c>
      <c r="F2467" t="s">
        <v>6153</v>
      </c>
      <c r="G2467">
        <v>2</v>
      </c>
      <c r="H2467" t="s">
        <v>2325</v>
      </c>
      <c r="I2467" t="s">
        <v>85</v>
      </c>
      <c r="J2467" t="s">
        <v>2019</v>
      </c>
      <c r="K2467" t="s">
        <v>20</v>
      </c>
      <c r="L2467" t="s">
        <v>6154</v>
      </c>
      <c r="M2467" s="3" t="str">
        <f>HYPERLINK("..\..\Imagery\ScannedPhotos\1986\MN86-028.1.jpg")</f>
        <v>..\..\Imagery\ScannedPhotos\1986\MN86-028.1.jpg</v>
      </c>
    </row>
    <row r="2468" spans="1:13" x14ac:dyDescent="0.25">
      <c r="A2468" t="s">
        <v>6155</v>
      </c>
      <c r="B2468">
        <v>549346</v>
      </c>
      <c r="C2468">
        <v>5842580</v>
      </c>
      <c r="D2468">
        <v>21</v>
      </c>
      <c r="E2468" t="s">
        <v>15</v>
      </c>
      <c r="F2468" t="s">
        <v>6156</v>
      </c>
      <c r="G2468">
        <v>1</v>
      </c>
      <c r="K2468" t="s">
        <v>56</v>
      </c>
      <c r="L2468" t="s">
        <v>6157</v>
      </c>
      <c r="M2468" s="3" t="str">
        <f>HYPERLINK("..\..\Imagery\ScannedPhotos\2004\CG04-023.jpg")</f>
        <v>..\..\Imagery\ScannedPhotos\2004\CG04-023.jpg</v>
      </c>
    </row>
    <row r="2469" spans="1:13" x14ac:dyDescent="0.25">
      <c r="A2469" t="s">
        <v>6158</v>
      </c>
      <c r="B2469">
        <v>548805</v>
      </c>
      <c r="C2469">
        <v>5842075</v>
      </c>
      <c r="D2469">
        <v>21</v>
      </c>
      <c r="E2469" t="s">
        <v>15</v>
      </c>
      <c r="F2469" t="s">
        <v>6159</v>
      </c>
      <c r="G2469">
        <v>1</v>
      </c>
      <c r="K2469" t="s">
        <v>56</v>
      </c>
      <c r="L2469" t="s">
        <v>6160</v>
      </c>
      <c r="M2469" s="3" t="str">
        <f>HYPERLINK("..\..\Imagery\ScannedPhotos\2004\CG04-025.jpg")</f>
        <v>..\..\Imagery\ScannedPhotos\2004\CG04-025.jpg</v>
      </c>
    </row>
    <row r="2470" spans="1:13" x14ac:dyDescent="0.25">
      <c r="A2470" t="s">
        <v>6161</v>
      </c>
      <c r="B2470">
        <v>472553</v>
      </c>
      <c r="C2470">
        <v>5862356</v>
      </c>
      <c r="D2470">
        <v>21</v>
      </c>
      <c r="E2470" t="s">
        <v>15</v>
      </c>
      <c r="F2470" t="s">
        <v>6162</v>
      </c>
      <c r="G2470">
        <v>1</v>
      </c>
      <c r="H2470" t="s">
        <v>890</v>
      </c>
      <c r="I2470" t="s">
        <v>126</v>
      </c>
      <c r="J2470" t="s">
        <v>891</v>
      </c>
      <c r="K2470" t="s">
        <v>20</v>
      </c>
      <c r="L2470" t="s">
        <v>6163</v>
      </c>
      <c r="M2470" s="3" t="str">
        <f>HYPERLINK("..\..\Imagery\ScannedPhotos\1991\VN91-246.jpg")</f>
        <v>..\..\Imagery\ScannedPhotos\1991\VN91-246.jpg</v>
      </c>
    </row>
    <row r="2471" spans="1:13" x14ac:dyDescent="0.25">
      <c r="A2471" t="s">
        <v>6164</v>
      </c>
      <c r="B2471">
        <v>573871</v>
      </c>
      <c r="C2471">
        <v>5760224</v>
      </c>
      <c r="D2471">
        <v>21</v>
      </c>
      <c r="E2471" t="s">
        <v>15</v>
      </c>
      <c r="F2471" t="s">
        <v>6165</v>
      </c>
      <c r="G2471">
        <v>2</v>
      </c>
      <c r="H2471" t="s">
        <v>995</v>
      </c>
      <c r="I2471" t="s">
        <v>85</v>
      </c>
      <c r="J2471" t="s">
        <v>996</v>
      </c>
      <c r="K2471" t="s">
        <v>56</v>
      </c>
      <c r="L2471" t="s">
        <v>6166</v>
      </c>
      <c r="M2471" s="3" t="str">
        <f>HYPERLINK("..\..\Imagery\ScannedPhotos\1993\CG93-731.2.jpg")</f>
        <v>..\..\Imagery\ScannedPhotos\1993\CG93-731.2.jpg</v>
      </c>
    </row>
    <row r="2472" spans="1:13" x14ac:dyDescent="0.25">
      <c r="A2472" t="s">
        <v>6167</v>
      </c>
      <c r="B2472">
        <v>335193</v>
      </c>
      <c r="C2472">
        <v>5859151</v>
      </c>
      <c r="D2472">
        <v>21</v>
      </c>
      <c r="E2472" t="s">
        <v>15</v>
      </c>
      <c r="F2472" t="s">
        <v>6168</v>
      </c>
      <c r="G2472">
        <v>5</v>
      </c>
      <c r="H2472" t="s">
        <v>259</v>
      </c>
      <c r="I2472" t="s">
        <v>418</v>
      </c>
      <c r="J2472" t="s">
        <v>260</v>
      </c>
      <c r="K2472" t="s">
        <v>228</v>
      </c>
      <c r="L2472" t="s">
        <v>6169</v>
      </c>
      <c r="M2472" s="3" t="str">
        <f>HYPERLINK("..\..\Imagery\ScannedPhotos\1998\CG98-098.1.jpg")</f>
        <v>..\..\Imagery\ScannedPhotos\1998\CG98-098.1.jpg</v>
      </c>
    </row>
    <row r="2473" spans="1:13" x14ac:dyDescent="0.25">
      <c r="A2473" t="s">
        <v>6170</v>
      </c>
      <c r="B2473">
        <v>460257</v>
      </c>
      <c r="C2473">
        <v>5907172</v>
      </c>
      <c r="D2473">
        <v>21</v>
      </c>
      <c r="E2473" t="s">
        <v>15</v>
      </c>
      <c r="F2473" t="s">
        <v>6171</v>
      </c>
      <c r="G2473">
        <v>2</v>
      </c>
      <c r="H2473" t="s">
        <v>632</v>
      </c>
      <c r="I2473" t="s">
        <v>129</v>
      </c>
      <c r="J2473" t="s">
        <v>633</v>
      </c>
      <c r="K2473" t="s">
        <v>20</v>
      </c>
      <c r="L2473" t="s">
        <v>6172</v>
      </c>
      <c r="M2473" s="3" t="str">
        <f>HYPERLINK("..\..\Imagery\ScannedPhotos\1977\MC77-127.2.jpg")</f>
        <v>..\..\Imagery\ScannedPhotos\1977\MC77-127.2.jpg</v>
      </c>
    </row>
    <row r="2474" spans="1:13" x14ac:dyDescent="0.25">
      <c r="A2474" t="s">
        <v>2314</v>
      </c>
      <c r="B2474">
        <v>525568</v>
      </c>
      <c r="C2474">
        <v>5746707</v>
      </c>
      <c r="D2474">
        <v>21</v>
      </c>
      <c r="E2474" t="s">
        <v>15</v>
      </c>
      <c r="F2474" t="s">
        <v>6173</v>
      </c>
      <c r="G2474">
        <v>2</v>
      </c>
      <c r="H2474" t="s">
        <v>869</v>
      </c>
      <c r="I2474" t="s">
        <v>79</v>
      </c>
      <c r="J2474" t="s">
        <v>870</v>
      </c>
      <c r="K2474" t="s">
        <v>56</v>
      </c>
      <c r="L2474" t="s">
        <v>2316</v>
      </c>
      <c r="M2474" s="3" t="str">
        <f>HYPERLINK("..\..\Imagery\ScannedPhotos\1993\VN93-593.2.jpg")</f>
        <v>..\..\Imagery\ScannedPhotos\1993\VN93-593.2.jpg</v>
      </c>
    </row>
    <row r="2475" spans="1:13" x14ac:dyDescent="0.25">
      <c r="A2475" t="s">
        <v>6174</v>
      </c>
      <c r="B2475">
        <v>450015</v>
      </c>
      <c r="C2475">
        <v>5900351</v>
      </c>
      <c r="D2475">
        <v>21</v>
      </c>
      <c r="E2475" t="s">
        <v>15</v>
      </c>
      <c r="F2475" t="s">
        <v>6175</v>
      </c>
      <c r="G2475">
        <v>1</v>
      </c>
      <c r="H2475" t="s">
        <v>6176</v>
      </c>
      <c r="I2475" t="s">
        <v>94</v>
      </c>
      <c r="J2475" t="s">
        <v>2247</v>
      </c>
      <c r="K2475" t="s">
        <v>20</v>
      </c>
      <c r="L2475" t="s">
        <v>6177</v>
      </c>
      <c r="M2475" s="3" t="str">
        <f>HYPERLINK("..\..\Imagery\ScannedPhotos\1984\NN84-240.jpg")</f>
        <v>..\..\Imagery\ScannedPhotos\1984\NN84-240.jpg</v>
      </c>
    </row>
    <row r="2476" spans="1:13" x14ac:dyDescent="0.25">
      <c r="A2476" t="s">
        <v>6178</v>
      </c>
      <c r="B2476">
        <v>448563</v>
      </c>
      <c r="C2476">
        <v>5902512</v>
      </c>
      <c r="D2476">
        <v>21</v>
      </c>
      <c r="E2476" t="s">
        <v>15</v>
      </c>
      <c r="F2476" t="s">
        <v>6179</v>
      </c>
      <c r="G2476">
        <v>4</v>
      </c>
      <c r="H2476" t="s">
        <v>6176</v>
      </c>
      <c r="I2476" t="s">
        <v>214</v>
      </c>
      <c r="J2476" t="s">
        <v>2247</v>
      </c>
      <c r="K2476" t="s">
        <v>20</v>
      </c>
      <c r="L2476" t="s">
        <v>6180</v>
      </c>
      <c r="M2476" s="3" t="str">
        <f>HYPERLINK("..\..\Imagery\ScannedPhotos\1984\NN84-247.3.jpg")</f>
        <v>..\..\Imagery\ScannedPhotos\1984\NN84-247.3.jpg</v>
      </c>
    </row>
    <row r="2477" spans="1:13" x14ac:dyDescent="0.25">
      <c r="A2477" t="s">
        <v>6178</v>
      </c>
      <c r="B2477">
        <v>448563</v>
      </c>
      <c r="C2477">
        <v>5902512</v>
      </c>
      <c r="D2477">
        <v>21</v>
      </c>
      <c r="E2477" t="s">
        <v>15</v>
      </c>
      <c r="F2477" t="s">
        <v>6181</v>
      </c>
      <c r="G2477">
        <v>4</v>
      </c>
      <c r="H2477" t="s">
        <v>6176</v>
      </c>
      <c r="I2477" t="s">
        <v>222</v>
      </c>
      <c r="J2477" t="s">
        <v>2247</v>
      </c>
      <c r="K2477" t="s">
        <v>56</v>
      </c>
      <c r="L2477" t="s">
        <v>6182</v>
      </c>
      <c r="M2477" s="3" t="str">
        <f>HYPERLINK("..\..\Imagery\ScannedPhotos\1984\NN84-247.4.jpg")</f>
        <v>..\..\Imagery\ScannedPhotos\1984\NN84-247.4.jpg</v>
      </c>
    </row>
    <row r="2478" spans="1:13" x14ac:dyDescent="0.25">
      <c r="A2478" t="s">
        <v>6178</v>
      </c>
      <c r="B2478">
        <v>448563</v>
      </c>
      <c r="C2478">
        <v>5902512</v>
      </c>
      <c r="D2478">
        <v>21</v>
      </c>
      <c r="E2478" t="s">
        <v>15</v>
      </c>
      <c r="F2478" t="s">
        <v>6183</v>
      </c>
      <c r="G2478">
        <v>4</v>
      </c>
      <c r="H2478" t="s">
        <v>6176</v>
      </c>
      <c r="I2478" t="s">
        <v>217</v>
      </c>
      <c r="J2478" t="s">
        <v>2247</v>
      </c>
      <c r="K2478" t="s">
        <v>20</v>
      </c>
      <c r="L2478" t="s">
        <v>6182</v>
      </c>
      <c r="M2478" s="3" t="str">
        <f>HYPERLINK("..\..\Imagery\ScannedPhotos\1984\NN84-247.2.jpg")</f>
        <v>..\..\Imagery\ScannedPhotos\1984\NN84-247.2.jpg</v>
      </c>
    </row>
    <row r="2479" spans="1:13" x14ac:dyDescent="0.25">
      <c r="A2479" t="s">
        <v>6184</v>
      </c>
      <c r="B2479">
        <v>398174</v>
      </c>
      <c r="C2479">
        <v>5994646</v>
      </c>
      <c r="D2479">
        <v>21</v>
      </c>
      <c r="E2479" t="s">
        <v>15</v>
      </c>
      <c r="F2479" t="s">
        <v>6185</v>
      </c>
      <c r="G2479">
        <v>1</v>
      </c>
      <c r="H2479" t="s">
        <v>1593</v>
      </c>
      <c r="I2479" t="s">
        <v>35</v>
      </c>
      <c r="J2479" t="s">
        <v>1594</v>
      </c>
      <c r="K2479" t="s">
        <v>20</v>
      </c>
      <c r="L2479" t="s">
        <v>6186</v>
      </c>
      <c r="M2479" s="3" t="str">
        <f>HYPERLINK("..\..\Imagery\ScannedPhotos\1980\NN80-005.jpg")</f>
        <v>..\..\Imagery\ScannedPhotos\1980\NN80-005.jpg</v>
      </c>
    </row>
    <row r="2480" spans="1:13" x14ac:dyDescent="0.25">
      <c r="A2480" t="s">
        <v>6187</v>
      </c>
      <c r="B2480">
        <v>397389</v>
      </c>
      <c r="C2480">
        <v>5993938</v>
      </c>
      <c r="D2480">
        <v>21</v>
      </c>
      <c r="E2480" t="s">
        <v>15</v>
      </c>
      <c r="F2480" t="s">
        <v>6188</v>
      </c>
      <c r="G2480">
        <v>1</v>
      </c>
      <c r="H2480" t="s">
        <v>1593</v>
      </c>
      <c r="I2480" t="s">
        <v>74</v>
      </c>
      <c r="J2480" t="s">
        <v>1594</v>
      </c>
      <c r="K2480" t="s">
        <v>20</v>
      </c>
      <c r="L2480" t="s">
        <v>6189</v>
      </c>
      <c r="M2480" s="3" t="str">
        <f>HYPERLINK("..\..\Imagery\ScannedPhotos\1980\NN80-006.jpg")</f>
        <v>..\..\Imagery\ScannedPhotos\1980\NN80-006.jpg</v>
      </c>
    </row>
    <row r="2481" spans="1:13" x14ac:dyDescent="0.25">
      <c r="A2481" t="s">
        <v>6190</v>
      </c>
      <c r="B2481">
        <v>472658</v>
      </c>
      <c r="C2481">
        <v>5922756</v>
      </c>
      <c r="D2481">
        <v>21</v>
      </c>
      <c r="E2481" t="s">
        <v>15</v>
      </c>
      <c r="F2481" t="s">
        <v>6191</v>
      </c>
      <c r="G2481">
        <v>1</v>
      </c>
      <c r="H2481" t="s">
        <v>2912</v>
      </c>
      <c r="I2481" t="s">
        <v>126</v>
      </c>
      <c r="J2481" t="s">
        <v>2913</v>
      </c>
      <c r="K2481" t="s">
        <v>20</v>
      </c>
      <c r="L2481" t="s">
        <v>4059</v>
      </c>
      <c r="M2481" s="3" t="str">
        <f>HYPERLINK("..\..\Imagery\ScannedPhotos\1984\VN84-251.jpg")</f>
        <v>..\..\Imagery\ScannedPhotos\1984\VN84-251.jpg</v>
      </c>
    </row>
    <row r="2482" spans="1:13" x14ac:dyDescent="0.25">
      <c r="A2482" t="s">
        <v>6192</v>
      </c>
      <c r="B2482">
        <v>445824</v>
      </c>
      <c r="C2482">
        <v>5904048</v>
      </c>
      <c r="D2482">
        <v>21</v>
      </c>
      <c r="E2482" t="s">
        <v>15</v>
      </c>
      <c r="F2482" t="s">
        <v>6193</v>
      </c>
      <c r="G2482">
        <v>4</v>
      </c>
      <c r="H2482" t="s">
        <v>2065</v>
      </c>
      <c r="I2482" t="s">
        <v>52</v>
      </c>
      <c r="J2482" t="s">
        <v>156</v>
      </c>
      <c r="K2482" t="s">
        <v>56</v>
      </c>
      <c r="L2482" t="s">
        <v>6194</v>
      </c>
      <c r="M2482" s="3" t="str">
        <f>HYPERLINK("..\..\Imagery\ScannedPhotos\1984\NN84-073.2.jpg")</f>
        <v>..\..\Imagery\ScannedPhotos\1984\NN84-073.2.jpg</v>
      </c>
    </row>
    <row r="2483" spans="1:13" x14ac:dyDescent="0.25">
      <c r="A2483" t="s">
        <v>3730</v>
      </c>
      <c r="B2483">
        <v>399600</v>
      </c>
      <c r="C2483">
        <v>5907054</v>
      </c>
      <c r="D2483">
        <v>21</v>
      </c>
      <c r="E2483" t="s">
        <v>15</v>
      </c>
      <c r="F2483" t="s">
        <v>6195</v>
      </c>
      <c r="G2483">
        <v>4</v>
      </c>
      <c r="H2483" t="s">
        <v>562</v>
      </c>
      <c r="I2483" t="s">
        <v>143</v>
      </c>
      <c r="J2483" t="s">
        <v>563</v>
      </c>
      <c r="K2483" t="s">
        <v>20</v>
      </c>
      <c r="L2483" t="s">
        <v>6196</v>
      </c>
      <c r="M2483" s="3" t="str">
        <f>HYPERLINK("..\..\Imagery\ScannedPhotos\1995\VN95-173.1.jpg")</f>
        <v>..\..\Imagery\ScannedPhotos\1995\VN95-173.1.jpg</v>
      </c>
    </row>
    <row r="2484" spans="1:13" x14ac:dyDescent="0.25">
      <c r="A2484" t="s">
        <v>6076</v>
      </c>
      <c r="B2484">
        <v>398266</v>
      </c>
      <c r="C2484">
        <v>5907799</v>
      </c>
      <c r="D2484">
        <v>21</v>
      </c>
      <c r="E2484" t="s">
        <v>15</v>
      </c>
      <c r="F2484" t="s">
        <v>6197</v>
      </c>
      <c r="G2484">
        <v>5</v>
      </c>
      <c r="H2484" t="s">
        <v>2312</v>
      </c>
      <c r="I2484" t="s">
        <v>18</v>
      </c>
      <c r="J2484" t="s">
        <v>557</v>
      </c>
      <c r="K2484" t="s">
        <v>20</v>
      </c>
      <c r="L2484" t="s">
        <v>6198</v>
      </c>
      <c r="M2484" s="3" t="str">
        <f>HYPERLINK("..\..\Imagery\ScannedPhotos\1995\VN95-175.4.jpg")</f>
        <v>..\..\Imagery\ScannedPhotos\1995\VN95-175.4.jpg</v>
      </c>
    </row>
    <row r="2485" spans="1:13" x14ac:dyDescent="0.25">
      <c r="A2485" t="s">
        <v>6199</v>
      </c>
      <c r="B2485">
        <v>545568</v>
      </c>
      <c r="C2485">
        <v>5856461</v>
      </c>
      <c r="D2485">
        <v>21</v>
      </c>
      <c r="E2485" t="s">
        <v>15</v>
      </c>
      <c r="F2485" t="s">
        <v>6200</v>
      </c>
      <c r="G2485">
        <v>2</v>
      </c>
      <c r="H2485" t="s">
        <v>68</v>
      </c>
      <c r="I2485" t="s">
        <v>94</v>
      </c>
      <c r="J2485" t="s">
        <v>70</v>
      </c>
      <c r="K2485" t="s">
        <v>20</v>
      </c>
      <c r="L2485" t="s">
        <v>6201</v>
      </c>
      <c r="M2485" s="3" t="str">
        <f>HYPERLINK("..\..\Imagery\ScannedPhotos\1986\SN86-156.1.jpg")</f>
        <v>..\..\Imagery\ScannedPhotos\1986\SN86-156.1.jpg</v>
      </c>
    </row>
    <row r="2486" spans="1:13" x14ac:dyDescent="0.25">
      <c r="A2486" t="s">
        <v>6199</v>
      </c>
      <c r="B2486">
        <v>545568</v>
      </c>
      <c r="C2486">
        <v>5856461</v>
      </c>
      <c r="D2486">
        <v>21</v>
      </c>
      <c r="E2486" t="s">
        <v>15</v>
      </c>
      <c r="F2486" t="s">
        <v>6202</v>
      </c>
      <c r="G2486">
        <v>2</v>
      </c>
      <c r="H2486" t="s">
        <v>68</v>
      </c>
      <c r="I2486" t="s">
        <v>209</v>
      </c>
      <c r="J2486" t="s">
        <v>70</v>
      </c>
      <c r="K2486" t="s">
        <v>20</v>
      </c>
      <c r="L2486" t="s">
        <v>6201</v>
      </c>
      <c r="M2486" s="3" t="str">
        <f>HYPERLINK("..\..\Imagery\ScannedPhotos\1986\SN86-156.2.jpg")</f>
        <v>..\..\Imagery\ScannedPhotos\1986\SN86-156.2.jpg</v>
      </c>
    </row>
    <row r="2487" spans="1:13" x14ac:dyDescent="0.25">
      <c r="A2487" t="s">
        <v>6203</v>
      </c>
      <c r="B2487">
        <v>516415</v>
      </c>
      <c r="C2487">
        <v>5861152</v>
      </c>
      <c r="D2487">
        <v>21</v>
      </c>
      <c r="E2487" t="s">
        <v>15</v>
      </c>
      <c r="F2487" t="s">
        <v>6204</v>
      </c>
      <c r="G2487">
        <v>1</v>
      </c>
      <c r="H2487" t="s">
        <v>68</v>
      </c>
      <c r="I2487" t="s">
        <v>214</v>
      </c>
      <c r="J2487" t="s">
        <v>70</v>
      </c>
      <c r="K2487" t="s">
        <v>20</v>
      </c>
      <c r="L2487" t="s">
        <v>6205</v>
      </c>
      <c r="M2487" s="3" t="str">
        <f>HYPERLINK("..\..\Imagery\ScannedPhotos\1986\SN86-166.jpg")</f>
        <v>..\..\Imagery\ScannedPhotos\1986\SN86-166.jpg</v>
      </c>
    </row>
    <row r="2488" spans="1:13" x14ac:dyDescent="0.25">
      <c r="A2488" t="s">
        <v>6206</v>
      </c>
      <c r="B2488">
        <v>494804</v>
      </c>
      <c r="C2488">
        <v>5967358</v>
      </c>
      <c r="D2488">
        <v>21</v>
      </c>
      <c r="E2488" t="s">
        <v>15</v>
      </c>
      <c r="F2488" t="s">
        <v>6207</v>
      </c>
      <c r="G2488">
        <v>2</v>
      </c>
      <c r="H2488" t="s">
        <v>1964</v>
      </c>
      <c r="I2488" t="s">
        <v>126</v>
      </c>
      <c r="J2488" t="s">
        <v>1965</v>
      </c>
      <c r="K2488" t="s">
        <v>20</v>
      </c>
      <c r="L2488" t="s">
        <v>6208</v>
      </c>
      <c r="M2488" s="3" t="str">
        <f>HYPERLINK("..\..\Imagery\ScannedPhotos\1977\MC77-236.2.jpg")</f>
        <v>..\..\Imagery\ScannedPhotos\1977\MC77-236.2.jpg</v>
      </c>
    </row>
    <row r="2489" spans="1:13" x14ac:dyDescent="0.25">
      <c r="A2489" t="s">
        <v>6206</v>
      </c>
      <c r="B2489">
        <v>494804</v>
      </c>
      <c r="C2489">
        <v>5967358</v>
      </c>
      <c r="D2489">
        <v>21</v>
      </c>
      <c r="E2489" t="s">
        <v>15</v>
      </c>
      <c r="F2489" t="s">
        <v>6209</v>
      </c>
      <c r="G2489">
        <v>2</v>
      </c>
      <c r="H2489" t="s">
        <v>1964</v>
      </c>
      <c r="I2489" t="s">
        <v>122</v>
      </c>
      <c r="J2489" t="s">
        <v>1965</v>
      </c>
      <c r="K2489" t="s">
        <v>20</v>
      </c>
      <c r="L2489" t="s">
        <v>6210</v>
      </c>
      <c r="M2489" s="3" t="str">
        <f>HYPERLINK("..\..\Imagery\ScannedPhotos\1977\MC77-236.1.jpg")</f>
        <v>..\..\Imagery\ScannedPhotos\1977\MC77-236.1.jpg</v>
      </c>
    </row>
    <row r="2490" spans="1:13" x14ac:dyDescent="0.25">
      <c r="A2490" t="s">
        <v>6211</v>
      </c>
      <c r="B2490">
        <v>531195</v>
      </c>
      <c r="C2490">
        <v>5824509</v>
      </c>
      <c r="D2490">
        <v>21</v>
      </c>
      <c r="E2490" t="s">
        <v>15</v>
      </c>
      <c r="F2490" t="s">
        <v>6212</v>
      </c>
      <c r="G2490">
        <v>1</v>
      </c>
      <c r="H2490" t="s">
        <v>6213</v>
      </c>
      <c r="I2490" t="s">
        <v>41</v>
      </c>
      <c r="J2490" t="s">
        <v>3202</v>
      </c>
      <c r="K2490" t="s">
        <v>20</v>
      </c>
      <c r="L2490" t="s">
        <v>6214</v>
      </c>
      <c r="M2490" s="3" t="str">
        <f>HYPERLINK("..\..\Imagery\ScannedPhotos\1986\MN86-455.jpg")</f>
        <v>..\..\Imagery\ScannedPhotos\1986\MN86-455.jpg</v>
      </c>
    </row>
    <row r="2491" spans="1:13" x14ac:dyDescent="0.25">
      <c r="A2491" t="s">
        <v>6215</v>
      </c>
      <c r="B2491">
        <v>347774</v>
      </c>
      <c r="C2491">
        <v>6003778</v>
      </c>
      <c r="D2491">
        <v>21</v>
      </c>
      <c r="E2491" t="s">
        <v>15</v>
      </c>
      <c r="F2491" t="s">
        <v>6216</v>
      </c>
      <c r="G2491">
        <v>4</v>
      </c>
      <c r="H2491" t="s">
        <v>226</v>
      </c>
      <c r="I2491" t="s">
        <v>52</v>
      </c>
      <c r="J2491" t="s">
        <v>227</v>
      </c>
      <c r="K2491" t="s">
        <v>20</v>
      </c>
      <c r="L2491" t="s">
        <v>6217</v>
      </c>
      <c r="M2491" s="3" t="str">
        <f>HYPERLINK("..\..\Imagery\ScannedPhotos\1983\CG83-185.4.jpg")</f>
        <v>..\..\Imagery\ScannedPhotos\1983\CG83-185.4.jpg</v>
      </c>
    </row>
    <row r="2492" spans="1:13" x14ac:dyDescent="0.25">
      <c r="A2492" t="s">
        <v>6218</v>
      </c>
      <c r="B2492">
        <v>355246</v>
      </c>
      <c r="C2492">
        <v>5997038</v>
      </c>
      <c r="D2492">
        <v>21</v>
      </c>
      <c r="E2492" t="s">
        <v>15</v>
      </c>
      <c r="F2492" t="s">
        <v>6219</v>
      </c>
      <c r="G2492">
        <v>2</v>
      </c>
      <c r="H2492" t="s">
        <v>2431</v>
      </c>
      <c r="I2492" t="s">
        <v>418</v>
      </c>
      <c r="J2492" t="s">
        <v>269</v>
      </c>
      <c r="K2492" t="s">
        <v>20</v>
      </c>
      <c r="L2492" t="s">
        <v>6220</v>
      </c>
      <c r="M2492" s="3" t="str">
        <f>HYPERLINK("..\..\Imagery\ScannedPhotos\1983\CG83-220.1.jpg")</f>
        <v>..\..\Imagery\ScannedPhotos\1983\CG83-220.1.jpg</v>
      </c>
    </row>
    <row r="2493" spans="1:13" x14ac:dyDescent="0.25">
      <c r="A2493" t="s">
        <v>6221</v>
      </c>
      <c r="B2493">
        <v>449936</v>
      </c>
      <c r="C2493">
        <v>5897495</v>
      </c>
      <c r="D2493">
        <v>21</v>
      </c>
      <c r="E2493" t="s">
        <v>15</v>
      </c>
      <c r="F2493" t="s">
        <v>6222</v>
      </c>
      <c r="G2493">
        <v>2</v>
      </c>
      <c r="H2493" t="s">
        <v>5461</v>
      </c>
      <c r="I2493" t="s">
        <v>79</v>
      </c>
      <c r="J2493" t="s">
        <v>2247</v>
      </c>
      <c r="K2493" t="s">
        <v>20</v>
      </c>
      <c r="L2493" t="s">
        <v>6223</v>
      </c>
      <c r="M2493" s="3" t="str">
        <f>HYPERLINK("..\..\Imagery\ScannedPhotos\1984\NN84-294.1.jpg")</f>
        <v>..\..\Imagery\ScannedPhotos\1984\NN84-294.1.jpg</v>
      </c>
    </row>
    <row r="2494" spans="1:13" x14ac:dyDescent="0.25">
      <c r="A2494" t="s">
        <v>6221</v>
      </c>
      <c r="B2494">
        <v>449936</v>
      </c>
      <c r="C2494">
        <v>5897495</v>
      </c>
      <c r="D2494">
        <v>21</v>
      </c>
      <c r="E2494" t="s">
        <v>15</v>
      </c>
      <c r="F2494" t="s">
        <v>6224</v>
      </c>
      <c r="G2494">
        <v>2</v>
      </c>
      <c r="H2494" t="s">
        <v>5461</v>
      </c>
      <c r="I2494" t="s">
        <v>281</v>
      </c>
      <c r="J2494" t="s">
        <v>2247</v>
      </c>
      <c r="K2494" t="s">
        <v>20</v>
      </c>
      <c r="L2494" t="s">
        <v>6223</v>
      </c>
      <c r="M2494" s="3" t="str">
        <f>HYPERLINK("..\..\Imagery\ScannedPhotos\1984\NN84-294.2.jpg")</f>
        <v>..\..\Imagery\ScannedPhotos\1984\NN84-294.2.jpg</v>
      </c>
    </row>
    <row r="2495" spans="1:13" x14ac:dyDescent="0.25">
      <c r="A2495" t="s">
        <v>6225</v>
      </c>
      <c r="B2495">
        <v>396579</v>
      </c>
      <c r="C2495">
        <v>5787114</v>
      </c>
      <c r="D2495">
        <v>21</v>
      </c>
      <c r="E2495" t="s">
        <v>15</v>
      </c>
      <c r="F2495" t="s">
        <v>6226</v>
      </c>
      <c r="G2495">
        <v>1</v>
      </c>
      <c r="H2495" t="s">
        <v>6227</v>
      </c>
      <c r="I2495" t="s">
        <v>126</v>
      </c>
      <c r="J2495" t="s">
        <v>6228</v>
      </c>
      <c r="K2495" t="s">
        <v>20</v>
      </c>
      <c r="L2495" t="s">
        <v>6229</v>
      </c>
      <c r="M2495" s="3" t="str">
        <f>HYPERLINK("..\..\Imagery\ScannedPhotos\1999\CG99-345.jpg")</f>
        <v>..\..\Imagery\ScannedPhotos\1999\CG99-345.jpg</v>
      </c>
    </row>
    <row r="2496" spans="1:13" x14ac:dyDescent="0.25">
      <c r="A2496" t="s">
        <v>6230</v>
      </c>
      <c r="B2496">
        <v>550592</v>
      </c>
      <c r="C2496">
        <v>5821523</v>
      </c>
      <c r="D2496">
        <v>21</v>
      </c>
      <c r="E2496" t="s">
        <v>15</v>
      </c>
      <c r="F2496" t="s">
        <v>6231</v>
      </c>
      <c r="G2496">
        <v>1</v>
      </c>
      <c r="H2496" t="s">
        <v>24</v>
      </c>
      <c r="I2496" t="s">
        <v>214</v>
      </c>
      <c r="J2496" t="s">
        <v>26</v>
      </c>
      <c r="K2496" t="s">
        <v>20</v>
      </c>
      <c r="L2496" t="s">
        <v>6232</v>
      </c>
      <c r="M2496" s="3" t="str">
        <f>HYPERLINK("..\..\Imagery\ScannedPhotos\1986\CG86-016.jpg")</f>
        <v>..\..\Imagery\ScannedPhotos\1986\CG86-016.jpg</v>
      </c>
    </row>
    <row r="2497" spans="1:14" x14ac:dyDescent="0.25">
      <c r="A2497" t="s">
        <v>6233</v>
      </c>
      <c r="B2497">
        <v>551008</v>
      </c>
      <c r="C2497">
        <v>5821597</v>
      </c>
      <c r="D2497">
        <v>21</v>
      </c>
      <c r="E2497" t="s">
        <v>15</v>
      </c>
      <c r="F2497" t="s">
        <v>6234</v>
      </c>
      <c r="G2497">
        <v>3</v>
      </c>
      <c r="H2497" t="s">
        <v>24</v>
      </c>
      <c r="I2497" t="s">
        <v>304</v>
      </c>
      <c r="J2497" t="s">
        <v>26</v>
      </c>
      <c r="K2497" t="s">
        <v>20</v>
      </c>
      <c r="L2497" t="s">
        <v>6235</v>
      </c>
      <c r="M2497" s="3" t="str">
        <f>HYPERLINK("..\..\Imagery\ScannedPhotos\1986\CG86-017.3.jpg")</f>
        <v>..\..\Imagery\ScannedPhotos\1986\CG86-017.3.jpg</v>
      </c>
    </row>
    <row r="2498" spans="1:14" x14ac:dyDescent="0.25">
      <c r="A2498" t="s">
        <v>6236</v>
      </c>
      <c r="B2498">
        <v>598866</v>
      </c>
      <c r="C2498">
        <v>5789705</v>
      </c>
      <c r="D2498">
        <v>21</v>
      </c>
      <c r="E2498" t="s">
        <v>15</v>
      </c>
      <c r="F2498" t="s">
        <v>6237</v>
      </c>
      <c r="G2498">
        <v>3</v>
      </c>
      <c r="H2498" t="s">
        <v>1650</v>
      </c>
      <c r="I2498" t="s">
        <v>122</v>
      </c>
      <c r="J2498" t="s">
        <v>1651</v>
      </c>
      <c r="K2498" t="s">
        <v>20</v>
      </c>
      <c r="L2498" t="s">
        <v>6238</v>
      </c>
      <c r="M2498" s="3" t="str">
        <f>HYPERLINK("..\..\Imagery\ScannedPhotos\1987\CG87-563.3.jpg")</f>
        <v>..\..\Imagery\ScannedPhotos\1987\CG87-563.3.jpg</v>
      </c>
    </row>
    <row r="2499" spans="1:14" x14ac:dyDescent="0.25">
      <c r="A2499" t="s">
        <v>6239</v>
      </c>
      <c r="B2499">
        <v>598931</v>
      </c>
      <c r="C2499">
        <v>5790163</v>
      </c>
      <c r="D2499">
        <v>21</v>
      </c>
      <c r="E2499" t="s">
        <v>15</v>
      </c>
      <c r="F2499" t="s">
        <v>6240</v>
      </c>
      <c r="G2499">
        <v>2</v>
      </c>
      <c r="H2499" t="s">
        <v>1650</v>
      </c>
      <c r="I2499" t="s">
        <v>126</v>
      </c>
      <c r="J2499" t="s">
        <v>1651</v>
      </c>
      <c r="K2499" t="s">
        <v>20</v>
      </c>
      <c r="L2499" t="s">
        <v>6241</v>
      </c>
      <c r="M2499" s="3" t="str">
        <f>HYPERLINK("..\..\Imagery\ScannedPhotos\1987\CG87-564.1.jpg")</f>
        <v>..\..\Imagery\ScannedPhotos\1987\CG87-564.1.jpg</v>
      </c>
    </row>
    <row r="2500" spans="1:14" x14ac:dyDescent="0.25">
      <c r="A2500" t="s">
        <v>6239</v>
      </c>
      <c r="B2500">
        <v>598931</v>
      </c>
      <c r="C2500">
        <v>5790163</v>
      </c>
      <c r="D2500">
        <v>21</v>
      </c>
      <c r="E2500" t="s">
        <v>15</v>
      </c>
      <c r="F2500" t="s">
        <v>6242</v>
      </c>
      <c r="G2500">
        <v>2</v>
      </c>
      <c r="H2500" t="s">
        <v>1650</v>
      </c>
      <c r="I2500" t="s">
        <v>108</v>
      </c>
      <c r="J2500" t="s">
        <v>1651</v>
      </c>
      <c r="K2500" t="s">
        <v>20</v>
      </c>
      <c r="L2500" t="s">
        <v>6241</v>
      </c>
      <c r="M2500" s="3" t="str">
        <f>HYPERLINK("..\..\Imagery\ScannedPhotos\1987\CG87-564.2.jpg")</f>
        <v>..\..\Imagery\ScannedPhotos\1987\CG87-564.2.jpg</v>
      </c>
    </row>
    <row r="2501" spans="1:14" x14ac:dyDescent="0.25">
      <c r="A2501" t="s">
        <v>6243</v>
      </c>
      <c r="B2501">
        <v>598931</v>
      </c>
      <c r="C2501">
        <v>5790591</v>
      </c>
      <c r="D2501">
        <v>21</v>
      </c>
      <c r="E2501" t="s">
        <v>15</v>
      </c>
      <c r="F2501" t="s">
        <v>6244</v>
      </c>
      <c r="G2501">
        <v>1</v>
      </c>
      <c r="H2501" t="s">
        <v>1650</v>
      </c>
      <c r="I2501" t="s">
        <v>132</v>
      </c>
      <c r="J2501" t="s">
        <v>1651</v>
      </c>
      <c r="K2501" t="s">
        <v>20</v>
      </c>
      <c r="L2501" t="s">
        <v>6245</v>
      </c>
      <c r="M2501" s="3" t="str">
        <f>HYPERLINK("..\..\Imagery\ScannedPhotos\1987\CG87-565.jpg")</f>
        <v>..\..\Imagery\ScannedPhotos\1987\CG87-565.jpg</v>
      </c>
    </row>
    <row r="2502" spans="1:14" x14ac:dyDescent="0.25">
      <c r="A2502" t="s">
        <v>6246</v>
      </c>
      <c r="B2502">
        <v>492611</v>
      </c>
      <c r="C2502">
        <v>5798408</v>
      </c>
      <c r="D2502">
        <v>21</v>
      </c>
      <c r="E2502" t="s">
        <v>15</v>
      </c>
      <c r="F2502" t="s">
        <v>6247</v>
      </c>
      <c r="G2502">
        <v>2</v>
      </c>
      <c r="H2502" t="s">
        <v>5587</v>
      </c>
      <c r="I2502" t="s">
        <v>122</v>
      </c>
      <c r="J2502" t="s">
        <v>2341</v>
      </c>
      <c r="K2502" t="s">
        <v>56</v>
      </c>
      <c r="L2502" t="s">
        <v>6248</v>
      </c>
      <c r="M2502" s="3" t="str">
        <f>HYPERLINK("..\..\Imagery\ScannedPhotos\1992\VN92-120.1.jpg")</f>
        <v>..\..\Imagery\ScannedPhotos\1992\VN92-120.1.jpg</v>
      </c>
    </row>
    <row r="2503" spans="1:14" x14ac:dyDescent="0.25">
      <c r="A2503" t="s">
        <v>6249</v>
      </c>
      <c r="B2503">
        <v>441200</v>
      </c>
      <c r="C2503">
        <v>5810450</v>
      </c>
      <c r="D2503">
        <v>21</v>
      </c>
      <c r="E2503" t="s">
        <v>15</v>
      </c>
      <c r="F2503" t="s">
        <v>6250</v>
      </c>
      <c r="G2503">
        <v>1</v>
      </c>
      <c r="H2503" t="s">
        <v>5587</v>
      </c>
      <c r="I2503" t="s">
        <v>132</v>
      </c>
      <c r="J2503" t="s">
        <v>2341</v>
      </c>
      <c r="K2503" t="s">
        <v>56</v>
      </c>
      <c r="L2503" t="s">
        <v>6251</v>
      </c>
      <c r="M2503" s="3" t="str">
        <f>HYPERLINK("..\..\Imagery\ScannedPhotos\1992\VN92-122.jpg")</f>
        <v>..\..\Imagery\ScannedPhotos\1992\VN92-122.jpg</v>
      </c>
    </row>
    <row r="2504" spans="1:14" x14ac:dyDescent="0.25">
      <c r="A2504" t="s">
        <v>933</v>
      </c>
      <c r="B2504">
        <v>501733</v>
      </c>
      <c r="C2504">
        <v>5933812</v>
      </c>
      <c r="D2504">
        <v>21</v>
      </c>
      <c r="E2504" t="s">
        <v>15</v>
      </c>
      <c r="F2504" t="s">
        <v>6252</v>
      </c>
      <c r="G2504">
        <v>5</v>
      </c>
      <c r="K2504" t="s">
        <v>935</v>
      </c>
      <c r="L2504" t="s">
        <v>6253</v>
      </c>
      <c r="M2504" s="3" t="str">
        <f>HYPERLINK("..\..\Imagery\ScannedPhotos\2004\CG04-258.3.jpg")</f>
        <v>..\..\Imagery\ScannedPhotos\2004\CG04-258.3.jpg</v>
      </c>
    </row>
    <row r="2505" spans="1:14" x14ac:dyDescent="0.25">
      <c r="A2505" t="s">
        <v>6254</v>
      </c>
      <c r="B2505">
        <v>448050</v>
      </c>
      <c r="C2505">
        <v>5870950</v>
      </c>
      <c r="D2505">
        <v>21</v>
      </c>
      <c r="E2505" t="s">
        <v>15</v>
      </c>
      <c r="F2505" t="s">
        <v>6255</v>
      </c>
      <c r="G2505">
        <v>1</v>
      </c>
      <c r="H2505" t="s">
        <v>1048</v>
      </c>
      <c r="I2505" t="s">
        <v>74</v>
      </c>
      <c r="J2505" t="s">
        <v>1038</v>
      </c>
      <c r="K2505" t="s">
        <v>20</v>
      </c>
      <c r="L2505" t="s">
        <v>6256</v>
      </c>
      <c r="M2505" s="3" t="str">
        <f>HYPERLINK("..\..\Imagery\ScannedPhotos\1991\DD91-116.jpg")</f>
        <v>..\..\Imagery\ScannedPhotos\1991\DD91-116.jpg</v>
      </c>
    </row>
    <row r="2506" spans="1:14" x14ac:dyDescent="0.25">
      <c r="A2506" t="s">
        <v>6257</v>
      </c>
      <c r="B2506">
        <v>450960</v>
      </c>
      <c r="C2506">
        <v>5867413</v>
      </c>
      <c r="D2506">
        <v>21</v>
      </c>
      <c r="E2506" t="s">
        <v>15</v>
      </c>
      <c r="F2506" t="s">
        <v>6258</v>
      </c>
      <c r="G2506">
        <v>1</v>
      </c>
      <c r="H2506" t="s">
        <v>1048</v>
      </c>
      <c r="I2506" t="s">
        <v>41</v>
      </c>
      <c r="J2506" t="s">
        <v>1038</v>
      </c>
      <c r="K2506" t="s">
        <v>20</v>
      </c>
      <c r="L2506" t="s">
        <v>6259</v>
      </c>
      <c r="M2506" s="3" t="str">
        <f>HYPERLINK("..\..\Imagery\ScannedPhotos\1991\DD91-121.jpg")</f>
        <v>..\..\Imagery\ScannedPhotos\1991\DD91-121.jpg</v>
      </c>
    </row>
    <row r="2507" spans="1:14" x14ac:dyDescent="0.25">
      <c r="A2507" t="s">
        <v>6260</v>
      </c>
      <c r="B2507">
        <v>489039</v>
      </c>
      <c r="C2507">
        <v>5977753</v>
      </c>
      <c r="D2507">
        <v>21</v>
      </c>
      <c r="E2507" t="s">
        <v>15</v>
      </c>
      <c r="F2507" t="s">
        <v>6261</v>
      </c>
      <c r="G2507">
        <v>1</v>
      </c>
      <c r="H2507" t="s">
        <v>46</v>
      </c>
      <c r="I2507" t="s">
        <v>137</v>
      </c>
      <c r="J2507" t="s">
        <v>48</v>
      </c>
      <c r="K2507" t="s">
        <v>20</v>
      </c>
      <c r="L2507" t="s">
        <v>6262</v>
      </c>
      <c r="M2507" s="3" t="str">
        <f>HYPERLINK("..\..\Imagery\ScannedPhotos\1981\GF81-004E.jpg")</f>
        <v>..\..\Imagery\ScannedPhotos\1981\GF81-004E.jpg</v>
      </c>
      <c r="N2507" t="s">
        <v>1808</v>
      </c>
    </row>
    <row r="2508" spans="1:14" x14ac:dyDescent="0.25">
      <c r="A2508" t="s">
        <v>6263</v>
      </c>
      <c r="B2508">
        <v>489454</v>
      </c>
      <c r="C2508">
        <v>5977736</v>
      </c>
      <c r="D2508">
        <v>21</v>
      </c>
      <c r="E2508" t="s">
        <v>15</v>
      </c>
      <c r="F2508" t="s">
        <v>6264</v>
      </c>
      <c r="G2508">
        <v>1</v>
      </c>
      <c r="H2508" t="s">
        <v>46</v>
      </c>
      <c r="I2508" t="s">
        <v>18</v>
      </c>
      <c r="J2508" t="s">
        <v>48</v>
      </c>
      <c r="K2508" t="s">
        <v>20</v>
      </c>
      <c r="L2508" t="s">
        <v>6265</v>
      </c>
      <c r="M2508" s="3" t="str">
        <f>HYPERLINK("..\..\Imagery\ScannedPhotos\1981\GF81-005cropped.jpg")</f>
        <v>..\..\Imagery\ScannedPhotos\1981\GF81-005cropped.jpg</v>
      </c>
      <c r="N2508" t="s">
        <v>4297</v>
      </c>
    </row>
    <row r="2509" spans="1:14" x14ac:dyDescent="0.25">
      <c r="A2509" t="s">
        <v>4071</v>
      </c>
      <c r="B2509">
        <v>510901</v>
      </c>
      <c r="C2509">
        <v>5932396</v>
      </c>
      <c r="D2509">
        <v>21</v>
      </c>
      <c r="E2509" t="s">
        <v>15</v>
      </c>
      <c r="F2509" t="s">
        <v>6266</v>
      </c>
      <c r="G2509">
        <v>2</v>
      </c>
      <c r="K2509" t="s">
        <v>56</v>
      </c>
      <c r="L2509" t="s">
        <v>6267</v>
      </c>
      <c r="M2509" s="3" t="str">
        <f>HYPERLINK("..\..\Imagery\ScannedPhotos\2004\CG04-272.2.jpg")</f>
        <v>..\..\Imagery\ScannedPhotos\2004\CG04-272.2.jpg</v>
      </c>
    </row>
    <row r="2510" spans="1:14" x14ac:dyDescent="0.25">
      <c r="A2510" t="s">
        <v>6268</v>
      </c>
      <c r="B2510">
        <v>542259</v>
      </c>
      <c r="C2510">
        <v>5738887</v>
      </c>
      <c r="D2510">
        <v>21</v>
      </c>
      <c r="E2510" t="s">
        <v>15</v>
      </c>
      <c r="F2510" t="s">
        <v>6269</v>
      </c>
      <c r="G2510">
        <v>1</v>
      </c>
      <c r="K2510" t="s">
        <v>56</v>
      </c>
      <c r="L2510" t="s">
        <v>6270</v>
      </c>
      <c r="M2510" s="3" t="str">
        <f>HYPERLINK("..\..\Imagery\ScannedPhotos\2003\CG03-017.jpg")</f>
        <v>..\..\Imagery\ScannedPhotos\2003\CG03-017.jpg</v>
      </c>
    </row>
    <row r="2511" spans="1:14" x14ac:dyDescent="0.25">
      <c r="A2511" t="s">
        <v>6271</v>
      </c>
      <c r="B2511">
        <v>536619</v>
      </c>
      <c r="C2511">
        <v>5733255</v>
      </c>
      <c r="D2511">
        <v>21</v>
      </c>
      <c r="E2511" t="s">
        <v>15</v>
      </c>
      <c r="F2511" t="s">
        <v>6272</v>
      </c>
      <c r="G2511">
        <v>2</v>
      </c>
      <c r="H2511" t="s">
        <v>2355</v>
      </c>
      <c r="I2511" t="s">
        <v>281</v>
      </c>
      <c r="J2511" t="s">
        <v>886</v>
      </c>
      <c r="K2511" t="s">
        <v>20</v>
      </c>
      <c r="L2511" t="s">
        <v>6273</v>
      </c>
      <c r="M2511" s="3" t="str">
        <f>HYPERLINK("..\..\Imagery\ScannedPhotos\1993\VN93-045.2.jpg")</f>
        <v>..\..\Imagery\ScannedPhotos\1993\VN93-045.2.jpg</v>
      </c>
    </row>
    <row r="2512" spans="1:14" x14ac:dyDescent="0.25">
      <c r="A2512" t="s">
        <v>6274</v>
      </c>
      <c r="B2512">
        <v>535910</v>
      </c>
      <c r="C2512">
        <v>5733320</v>
      </c>
      <c r="D2512">
        <v>21</v>
      </c>
      <c r="E2512" t="s">
        <v>15</v>
      </c>
      <c r="F2512" t="s">
        <v>6275</v>
      </c>
      <c r="G2512">
        <v>3</v>
      </c>
      <c r="H2512" t="s">
        <v>2355</v>
      </c>
      <c r="I2512" t="s">
        <v>18</v>
      </c>
      <c r="J2512" t="s">
        <v>886</v>
      </c>
      <c r="K2512" t="s">
        <v>20</v>
      </c>
      <c r="L2512" t="s">
        <v>6276</v>
      </c>
      <c r="M2512" s="3" t="str">
        <f>HYPERLINK("..\..\Imagery\ScannedPhotos\1993\VN93-046.2.jpg")</f>
        <v>..\..\Imagery\ScannedPhotos\1993\VN93-046.2.jpg</v>
      </c>
    </row>
    <row r="2513" spans="1:13" x14ac:dyDescent="0.25">
      <c r="A2513" t="s">
        <v>6277</v>
      </c>
      <c r="B2513">
        <v>561450</v>
      </c>
      <c r="C2513">
        <v>5806632</v>
      </c>
      <c r="D2513">
        <v>21</v>
      </c>
      <c r="E2513" t="s">
        <v>15</v>
      </c>
      <c r="F2513" t="s">
        <v>6278</v>
      </c>
      <c r="G2513">
        <v>3</v>
      </c>
      <c r="K2513" t="s">
        <v>56</v>
      </c>
      <c r="L2513" t="s">
        <v>6279</v>
      </c>
      <c r="M2513" s="3" t="str">
        <f>HYPERLINK("..\..\Imagery\ScannedPhotos\2003\CG03-180.1.jpg")</f>
        <v>..\..\Imagery\ScannedPhotos\2003\CG03-180.1.jpg</v>
      </c>
    </row>
    <row r="2514" spans="1:13" x14ac:dyDescent="0.25">
      <c r="A2514" t="s">
        <v>6277</v>
      </c>
      <c r="B2514">
        <v>561450</v>
      </c>
      <c r="C2514">
        <v>5806632</v>
      </c>
      <c r="D2514">
        <v>21</v>
      </c>
      <c r="E2514" t="s">
        <v>15</v>
      </c>
      <c r="F2514" t="s">
        <v>6280</v>
      </c>
      <c r="G2514">
        <v>3</v>
      </c>
      <c r="K2514" t="s">
        <v>56</v>
      </c>
      <c r="L2514" t="s">
        <v>6279</v>
      </c>
      <c r="M2514" s="3" t="str">
        <f>HYPERLINK("..\..\Imagery\ScannedPhotos\2003\CG03-180.2.jpg")</f>
        <v>..\..\Imagery\ScannedPhotos\2003\CG03-180.2.jpg</v>
      </c>
    </row>
    <row r="2515" spans="1:13" x14ac:dyDescent="0.25">
      <c r="A2515" t="s">
        <v>6277</v>
      </c>
      <c r="B2515">
        <v>561450</v>
      </c>
      <c r="C2515">
        <v>5806632</v>
      </c>
      <c r="D2515">
        <v>21</v>
      </c>
      <c r="E2515" t="s">
        <v>15</v>
      </c>
      <c r="F2515" t="s">
        <v>6281</v>
      </c>
      <c r="G2515">
        <v>3</v>
      </c>
      <c r="K2515" t="s">
        <v>56</v>
      </c>
      <c r="L2515" t="s">
        <v>6282</v>
      </c>
      <c r="M2515" s="3" t="str">
        <f>HYPERLINK("..\..\Imagery\ScannedPhotos\2003\CG03-180.3.jpg")</f>
        <v>..\..\Imagery\ScannedPhotos\2003\CG03-180.3.jpg</v>
      </c>
    </row>
    <row r="2516" spans="1:13" x14ac:dyDescent="0.25">
      <c r="A2516" t="s">
        <v>1602</v>
      </c>
      <c r="B2516">
        <v>575405</v>
      </c>
      <c r="C2516">
        <v>5929596</v>
      </c>
      <c r="D2516">
        <v>21</v>
      </c>
      <c r="E2516" t="s">
        <v>15</v>
      </c>
      <c r="F2516" t="s">
        <v>6283</v>
      </c>
      <c r="G2516">
        <v>6</v>
      </c>
      <c r="H2516" t="s">
        <v>1604</v>
      </c>
      <c r="I2516" t="s">
        <v>195</v>
      </c>
      <c r="J2516" t="s">
        <v>1605</v>
      </c>
      <c r="K2516" t="s">
        <v>20</v>
      </c>
      <c r="L2516" t="s">
        <v>6284</v>
      </c>
      <c r="M2516" s="3" t="str">
        <f>HYPERLINK("..\..\Imagery\ScannedPhotos\1985\CG85-418.1.jpg")</f>
        <v>..\..\Imagery\ScannedPhotos\1985\CG85-418.1.jpg</v>
      </c>
    </row>
    <row r="2517" spans="1:13" x14ac:dyDescent="0.25">
      <c r="A2517" t="s">
        <v>6285</v>
      </c>
      <c r="B2517">
        <v>448434</v>
      </c>
      <c r="C2517">
        <v>5862473</v>
      </c>
      <c r="D2517">
        <v>21</v>
      </c>
      <c r="E2517" t="s">
        <v>15</v>
      </c>
      <c r="F2517" t="s">
        <v>6286</v>
      </c>
      <c r="G2517">
        <v>2</v>
      </c>
      <c r="H2517" t="s">
        <v>6287</v>
      </c>
      <c r="I2517" t="s">
        <v>79</v>
      </c>
      <c r="J2517" t="s">
        <v>6288</v>
      </c>
      <c r="K2517" t="s">
        <v>56</v>
      </c>
      <c r="L2517" t="s">
        <v>1020</v>
      </c>
      <c r="M2517" s="3" t="str">
        <f>HYPERLINK("..\..\Imagery\ScannedPhotos\1991\CG91-044.2.jpg")</f>
        <v>..\..\Imagery\ScannedPhotos\1991\CG91-044.2.jpg</v>
      </c>
    </row>
    <row r="2518" spans="1:13" x14ac:dyDescent="0.25">
      <c r="A2518" t="s">
        <v>6285</v>
      </c>
      <c r="B2518">
        <v>448434</v>
      </c>
      <c r="C2518">
        <v>5862473</v>
      </c>
      <c r="D2518">
        <v>21</v>
      </c>
      <c r="E2518" t="s">
        <v>15</v>
      </c>
      <c r="F2518" t="s">
        <v>6289</v>
      </c>
      <c r="G2518">
        <v>2</v>
      </c>
      <c r="H2518" t="s">
        <v>6287</v>
      </c>
      <c r="I2518" t="s">
        <v>294</v>
      </c>
      <c r="J2518" t="s">
        <v>6288</v>
      </c>
      <c r="K2518" t="s">
        <v>56</v>
      </c>
      <c r="L2518" t="s">
        <v>6290</v>
      </c>
      <c r="M2518" s="3" t="str">
        <f>HYPERLINK("..\..\Imagery\ScannedPhotos\1991\CG91-044.1.jpg")</f>
        <v>..\..\Imagery\ScannedPhotos\1991\CG91-044.1.jpg</v>
      </c>
    </row>
    <row r="2519" spans="1:13" x14ac:dyDescent="0.25">
      <c r="A2519" t="s">
        <v>6291</v>
      </c>
      <c r="B2519">
        <v>455600</v>
      </c>
      <c r="C2519">
        <v>5866700</v>
      </c>
      <c r="D2519">
        <v>21</v>
      </c>
      <c r="E2519" t="s">
        <v>15</v>
      </c>
      <c r="F2519" t="s">
        <v>6292</v>
      </c>
      <c r="G2519">
        <v>1</v>
      </c>
      <c r="H2519" t="s">
        <v>6287</v>
      </c>
      <c r="I2519" t="s">
        <v>281</v>
      </c>
      <c r="J2519" t="s">
        <v>6288</v>
      </c>
      <c r="K2519" t="s">
        <v>56</v>
      </c>
      <c r="L2519" t="s">
        <v>6293</v>
      </c>
      <c r="M2519" s="3" t="str">
        <f>HYPERLINK("..\..\Imagery\ScannedPhotos\1991\CG91-047.jpg")</f>
        <v>..\..\Imagery\ScannedPhotos\1991\CG91-047.jpg</v>
      </c>
    </row>
    <row r="2520" spans="1:13" x14ac:dyDescent="0.25">
      <c r="A2520" t="s">
        <v>6294</v>
      </c>
      <c r="B2520">
        <v>460250</v>
      </c>
      <c r="C2520">
        <v>5863700</v>
      </c>
      <c r="D2520">
        <v>21</v>
      </c>
      <c r="E2520" t="s">
        <v>15</v>
      </c>
      <c r="F2520" t="s">
        <v>6295</v>
      </c>
      <c r="G2520">
        <v>1</v>
      </c>
      <c r="H2520" t="s">
        <v>6287</v>
      </c>
      <c r="I2520" t="s">
        <v>137</v>
      </c>
      <c r="J2520" t="s">
        <v>6288</v>
      </c>
      <c r="K2520" t="s">
        <v>20</v>
      </c>
      <c r="L2520" t="s">
        <v>6296</v>
      </c>
      <c r="M2520" s="3" t="str">
        <f>HYPERLINK("..\..\Imagery\ScannedPhotos\1991\CG91-055.jpg")</f>
        <v>..\..\Imagery\ScannedPhotos\1991\CG91-055.jpg</v>
      </c>
    </row>
    <row r="2521" spans="1:13" x14ac:dyDescent="0.25">
      <c r="A2521" t="s">
        <v>6297</v>
      </c>
      <c r="B2521">
        <v>453625</v>
      </c>
      <c r="C2521">
        <v>5827650</v>
      </c>
      <c r="D2521">
        <v>21</v>
      </c>
      <c r="E2521" t="s">
        <v>15</v>
      </c>
      <c r="F2521" t="s">
        <v>6298</v>
      </c>
      <c r="G2521">
        <v>5</v>
      </c>
      <c r="H2521" t="s">
        <v>4733</v>
      </c>
      <c r="I2521" t="s">
        <v>94</v>
      </c>
      <c r="J2521" t="s">
        <v>4734</v>
      </c>
      <c r="K2521" t="s">
        <v>20</v>
      </c>
      <c r="L2521" t="s">
        <v>6299</v>
      </c>
      <c r="M2521" s="3" t="str">
        <f>HYPERLINK("..\..\Imagery\ScannedPhotos\1991\CG91-072.5.jpg")</f>
        <v>..\..\Imagery\ScannedPhotos\1991\CG91-072.5.jpg</v>
      </c>
    </row>
    <row r="2522" spans="1:13" x14ac:dyDescent="0.25">
      <c r="A2522" t="s">
        <v>6297</v>
      </c>
      <c r="B2522">
        <v>453625</v>
      </c>
      <c r="C2522">
        <v>5827650</v>
      </c>
      <c r="D2522">
        <v>21</v>
      </c>
      <c r="E2522" t="s">
        <v>15</v>
      </c>
      <c r="F2522" t="s">
        <v>6300</v>
      </c>
      <c r="G2522">
        <v>5</v>
      </c>
      <c r="H2522" t="s">
        <v>4733</v>
      </c>
      <c r="I2522" t="s">
        <v>375</v>
      </c>
      <c r="J2522" t="s">
        <v>4734</v>
      </c>
      <c r="K2522" t="s">
        <v>56</v>
      </c>
      <c r="L2522" t="s">
        <v>6301</v>
      </c>
      <c r="M2522" s="3" t="str">
        <f>HYPERLINK("..\..\Imagery\ScannedPhotos\1991\CG91-072.4.jpg")</f>
        <v>..\..\Imagery\ScannedPhotos\1991\CG91-072.4.jpg</v>
      </c>
    </row>
    <row r="2523" spans="1:13" x14ac:dyDescent="0.25">
      <c r="A2523" t="s">
        <v>6297</v>
      </c>
      <c r="B2523">
        <v>453625</v>
      </c>
      <c r="C2523">
        <v>5827650</v>
      </c>
      <c r="D2523">
        <v>21</v>
      </c>
      <c r="E2523" t="s">
        <v>15</v>
      </c>
      <c r="F2523" t="s">
        <v>6302</v>
      </c>
      <c r="G2523">
        <v>5</v>
      </c>
      <c r="H2523" t="s">
        <v>6287</v>
      </c>
      <c r="I2523" t="s">
        <v>217</v>
      </c>
      <c r="J2523" t="s">
        <v>6288</v>
      </c>
      <c r="K2523" t="s">
        <v>20</v>
      </c>
      <c r="L2523" t="s">
        <v>6299</v>
      </c>
      <c r="M2523" s="3" t="str">
        <f>HYPERLINK("..\..\Imagery\ScannedPhotos\1991\CG91-072.2.jpg")</f>
        <v>..\..\Imagery\ScannedPhotos\1991\CG91-072.2.jpg</v>
      </c>
    </row>
    <row r="2524" spans="1:13" x14ac:dyDescent="0.25">
      <c r="A2524" t="s">
        <v>2413</v>
      </c>
      <c r="B2524">
        <v>570462</v>
      </c>
      <c r="C2524">
        <v>5885886</v>
      </c>
      <c r="D2524">
        <v>21</v>
      </c>
      <c r="E2524" t="s">
        <v>15</v>
      </c>
      <c r="F2524" t="s">
        <v>6303</v>
      </c>
      <c r="G2524">
        <v>5</v>
      </c>
      <c r="H2524" t="s">
        <v>2412</v>
      </c>
      <c r="I2524" t="s">
        <v>418</v>
      </c>
      <c r="J2524" t="s">
        <v>1463</v>
      </c>
      <c r="K2524" t="s">
        <v>20</v>
      </c>
      <c r="L2524" t="s">
        <v>2415</v>
      </c>
      <c r="M2524" s="3" t="str">
        <f>HYPERLINK("..\..\Imagery\ScannedPhotos\1985\GM85-503.4.jpg")</f>
        <v>..\..\Imagery\ScannedPhotos\1985\GM85-503.4.jpg</v>
      </c>
    </row>
    <row r="2525" spans="1:13" x14ac:dyDescent="0.25">
      <c r="A2525" t="s">
        <v>2413</v>
      </c>
      <c r="B2525">
        <v>570462</v>
      </c>
      <c r="C2525">
        <v>5885886</v>
      </c>
      <c r="D2525">
        <v>21</v>
      </c>
      <c r="E2525" t="s">
        <v>15</v>
      </c>
      <c r="F2525" t="s">
        <v>6304</v>
      </c>
      <c r="G2525">
        <v>5</v>
      </c>
      <c r="H2525" t="s">
        <v>2412</v>
      </c>
      <c r="I2525" t="s">
        <v>222</v>
      </c>
      <c r="J2525" t="s">
        <v>1463</v>
      </c>
      <c r="K2525" t="s">
        <v>20</v>
      </c>
      <c r="L2525" t="s">
        <v>2415</v>
      </c>
      <c r="M2525" s="3" t="str">
        <f>HYPERLINK("..\..\Imagery\ScannedPhotos\1985\GM85-503.3.jpg")</f>
        <v>..\..\Imagery\ScannedPhotos\1985\GM85-503.3.jpg</v>
      </c>
    </row>
    <row r="2526" spans="1:13" x14ac:dyDescent="0.25">
      <c r="A2526" t="s">
        <v>6305</v>
      </c>
      <c r="B2526">
        <v>572135</v>
      </c>
      <c r="C2526">
        <v>5886752</v>
      </c>
      <c r="D2526">
        <v>21</v>
      </c>
      <c r="E2526" t="s">
        <v>15</v>
      </c>
      <c r="F2526" t="s">
        <v>6306</v>
      </c>
      <c r="G2526">
        <v>2</v>
      </c>
      <c r="H2526" t="s">
        <v>2412</v>
      </c>
      <c r="I2526" t="s">
        <v>119</v>
      </c>
      <c r="J2526" t="s">
        <v>1463</v>
      </c>
      <c r="K2526" t="s">
        <v>20</v>
      </c>
      <c r="L2526" t="s">
        <v>6307</v>
      </c>
      <c r="M2526" s="3" t="str">
        <f>HYPERLINK("..\..\Imagery\ScannedPhotos\1985\GM85-507.2.jpg")</f>
        <v>..\..\Imagery\ScannedPhotos\1985\GM85-507.2.jpg</v>
      </c>
    </row>
    <row r="2527" spans="1:13" x14ac:dyDescent="0.25">
      <c r="A2527" t="s">
        <v>6308</v>
      </c>
      <c r="B2527">
        <v>493885</v>
      </c>
      <c r="C2527">
        <v>5817833</v>
      </c>
      <c r="D2527">
        <v>21</v>
      </c>
      <c r="E2527" t="s">
        <v>15</v>
      </c>
      <c r="F2527" t="s">
        <v>6309</v>
      </c>
      <c r="G2527">
        <v>1</v>
      </c>
      <c r="H2527" t="s">
        <v>2719</v>
      </c>
      <c r="I2527" t="s">
        <v>147</v>
      </c>
      <c r="J2527" t="s">
        <v>891</v>
      </c>
      <c r="K2527" t="s">
        <v>56</v>
      </c>
      <c r="L2527" t="s">
        <v>3226</v>
      </c>
      <c r="M2527" s="3" t="str">
        <f>HYPERLINK("..\..\Imagery\ScannedPhotos\1991\VN91-272.jpg")</f>
        <v>..\..\Imagery\ScannedPhotos\1991\VN91-272.jpg</v>
      </c>
    </row>
    <row r="2528" spans="1:13" x14ac:dyDescent="0.25">
      <c r="A2528" t="s">
        <v>6310</v>
      </c>
      <c r="B2528">
        <v>496332</v>
      </c>
      <c r="C2528">
        <v>5818513</v>
      </c>
      <c r="D2528">
        <v>21</v>
      </c>
      <c r="E2528" t="s">
        <v>15</v>
      </c>
      <c r="F2528" t="s">
        <v>6311</v>
      </c>
      <c r="G2528">
        <v>1</v>
      </c>
      <c r="H2528" t="s">
        <v>2719</v>
      </c>
      <c r="I2528" t="s">
        <v>47</v>
      </c>
      <c r="J2528" t="s">
        <v>891</v>
      </c>
      <c r="K2528" t="s">
        <v>20</v>
      </c>
      <c r="L2528" t="s">
        <v>1020</v>
      </c>
      <c r="M2528" s="3" t="str">
        <f>HYPERLINK("..\..\Imagery\ScannedPhotos\1991\VN91-282.jpg")</f>
        <v>..\..\Imagery\ScannedPhotos\1991\VN91-282.jpg</v>
      </c>
    </row>
    <row r="2529" spans="1:13" x14ac:dyDescent="0.25">
      <c r="A2529" t="s">
        <v>6312</v>
      </c>
      <c r="B2529">
        <v>495196</v>
      </c>
      <c r="C2529">
        <v>5823067</v>
      </c>
      <c r="D2529">
        <v>21</v>
      </c>
      <c r="E2529" t="s">
        <v>15</v>
      </c>
      <c r="F2529" t="s">
        <v>6313</v>
      </c>
      <c r="G2529">
        <v>1</v>
      </c>
      <c r="H2529" t="s">
        <v>2719</v>
      </c>
      <c r="I2529" t="s">
        <v>52</v>
      </c>
      <c r="J2529" t="s">
        <v>891</v>
      </c>
      <c r="K2529" t="s">
        <v>20</v>
      </c>
      <c r="L2529" t="s">
        <v>6314</v>
      </c>
      <c r="M2529" s="3" t="str">
        <f>HYPERLINK("..\..\Imagery\ScannedPhotos\1991\VN91-287.jpg")</f>
        <v>..\..\Imagery\ScannedPhotos\1991\VN91-287.jpg</v>
      </c>
    </row>
    <row r="2530" spans="1:13" x14ac:dyDescent="0.25">
      <c r="A2530" t="s">
        <v>6315</v>
      </c>
      <c r="B2530">
        <v>375976</v>
      </c>
      <c r="C2530">
        <v>5892660</v>
      </c>
      <c r="D2530">
        <v>21</v>
      </c>
      <c r="E2530" t="s">
        <v>15</v>
      </c>
      <c r="F2530" t="s">
        <v>6316</v>
      </c>
      <c r="G2530">
        <v>3</v>
      </c>
      <c r="H2530" t="s">
        <v>2312</v>
      </c>
      <c r="I2530" t="s">
        <v>386</v>
      </c>
      <c r="J2530" t="s">
        <v>557</v>
      </c>
      <c r="K2530" t="s">
        <v>56</v>
      </c>
      <c r="L2530" t="s">
        <v>1045</v>
      </c>
      <c r="M2530" s="3" t="str">
        <f>HYPERLINK("..\..\Imagery\ScannedPhotos\1995\VN95-204.2.jpg")</f>
        <v>..\..\Imagery\ScannedPhotos\1995\VN95-204.2.jpg</v>
      </c>
    </row>
    <row r="2531" spans="1:13" x14ac:dyDescent="0.25">
      <c r="A2531" t="s">
        <v>6315</v>
      </c>
      <c r="B2531">
        <v>375976</v>
      </c>
      <c r="C2531">
        <v>5892660</v>
      </c>
      <c r="D2531">
        <v>21</v>
      </c>
      <c r="E2531" t="s">
        <v>15</v>
      </c>
      <c r="F2531" t="s">
        <v>6317</v>
      </c>
      <c r="G2531">
        <v>3</v>
      </c>
      <c r="H2531" t="s">
        <v>2312</v>
      </c>
      <c r="I2531" t="s">
        <v>217</v>
      </c>
      <c r="J2531" t="s">
        <v>557</v>
      </c>
      <c r="K2531" t="s">
        <v>56</v>
      </c>
      <c r="L2531" t="s">
        <v>1045</v>
      </c>
      <c r="M2531" s="3" t="str">
        <f>HYPERLINK("..\..\Imagery\ScannedPhotos\1995\VN95-204.3.jpg")</f>
        <v>..\..\Imagery\ScannedPhotos\1995\VN95-204.3.jpg</v>
      </c>
    </row>
    <row r="2532" spans="1:13" x14ac:dyDescent="0.25">
      <c r="A2532" t="s">
        <v>1184</v>
      </c>
      <c r="B2532">
        <v>498017</v>
      </c>
      <c r="C2532">
        <v>5950628</v>
      </c>
      <c r="D2532">
        <v>21</v>
      </c>
      <c r="E2532" t="s">
        <v>15</v>
      </c>
      <c r="F2532" t="s">
        <v>6318</v>
      </c>
      <c r="G2532">
        <v>26</v>
      </c>
      <c r="H2532" t="s">
        <v>1188</v>
      </c>
      <c r="I2532" t="s">
        <v>418</v>
      </c>
      <c r="J2532" t="s">
        <v>48</v>
      </c>
      <c r="K2532" t="s">
        <v>535</v>
      </c>
      <c r="L2532" t="s">
        <v>6319</v>
      </c>
      <c r="M2532" s="3" t="str">
        <f>HYPERLINK("..\..\Imagery\ScannedPhotos\1981\CG81-001.5.jpg")</f>
        <v>..\..\Imagery\ScannedPhotos\1981\CG81-001.5.jpg</v>
      </c>
    </row>
    <row r="2533" spans="1:13" x14ac:dyDescent="0.25">
      <c r="A2533" t="s">
        <v>6320</v>
      </c>
      <c r="B2533">
        <v>511608</v>
      </c>
      <c r="C2533">
        <v>5740305</v>
      </c>
      <c r="D2533">
        <v>21</v>
      </c>
      <c r="E2533" t="s">
        <v>15</v>
      </c>
      <c r="F2533" t="s">
        <v>6321</v>
      </c>
      <c r="G2533">
        <v>1</v>
      </c>
      <c r="H2533" t="s">
        <v>6322</v>
      </c>
      <c r="I2533" t="s">
        <v>209</v>
      </c>
      <c r="J2533" t="s">
        <v>996</v>
      </c>
      <c r="K2533" t="s">
        <v>20</v>
      </c>
      <c r="L2533" t="s">
        <v>6323</v>
      </c>
      <c r="M2533" s="3" t="str">
        <f>HYPERLINK("..\..\Imagery\ScannedPhotos\1993\VN93-367.jpg")</f>
        <v>..\..\Imagery\ScannedPhotos\1993\VN93-367.jpg</v>
      </c>
    </row>
    <row r="2534" spans="1:13" x14ac:dyDescent="0.25">
      <c r="A2534" t="s">
        <v>6324</v>
      </c>
      <c r="B2534">
        <v>512351</v>
      </c>
      <c r="C2534">
        <v>5740280</v>
      </c>
      <c r="D2534">
        <v>21</v>
      </c>
      <c r="E2534" t="s">
        <v>15</v>
      </c>
      <c r="F2534" t="s">
        <v>6325</v>
      </c>
      <c r="G2534">
        <v>2</v>
      </c>
      <c r="H2534" t="s">
        <v>6322</v>
      </c>
      <c r="I2534" t="s">
        <v>386</v>
      </c>
      <c r="J2534" t="s">
        <v>996</v>
      </c>
      <c r="K2534" t="s">
        <v>56</v>
      </c>
      <c r="L2534" t="s">
        <v>6326</v>
      </c>
      <c r="M2534" s="3" t="str">
        <f>HYPERLINK("..\..\Imagery\ScannedPhotos\1993\VN93-370.1.jpg")</f>
        <v>..\..\Imagery\ScannedPhotos\1993\VN93-370.1.jpg</v>
      </c>
    </row>
    <row r="2535" spans="1:13" x14ac:dyDescent="0.25">
      <c r="A2535" t="s">
        <v>6324</v>
      </c>
      <c r="B2535">
        <v>512351</v>
      </c>
      <c r="C2535">
        <v>5740280</v>
      </c>
      <c r="D2535">
        <v>21</v>
      </c>
      <c r="E2535" t="s">
        <v>15</v>
      </c>
      <c r="F2535" t="s">
        <v>6327</v>
      </c>
      <c r="G2535">
        <v>2</v>
      </c>
      <c r="H2535" t="s">
        <v>6322</v>
      </c>
      <c r="I2535" t="s">
        <v>217</v>
      </c>
      <c r="J2535" t="s">
        <v>996</v>
      </c>
      <c r="K2535" t="s">
        <v>56</v>
      </c>
      <c r="L2535" t="s">
        <v>3150</v>
      </c>
      <c r="M2535" s="3" t="str">
        <f>HYPERLINK("..\..\Imagery\ScannedPhotos\1993\VN93-370.2.jpg")</f>
        <v>..\..\Imagery\ScannedPhotos\1993\VN93-370.2.jpg</v>
      </c>
    </row>
    <row r="2536" spans="1:13" x14ac:dyDescent="0.25">
      <c r="A2536" t="s">
        <v>6328</v>
      </c>
      <c r="B2536">
        <v>496360</v>
      </c>
      <c r="C2536">
        <v>5722702</v>
      </c>
      <c r="D2536">
        <v>21</v>
      </c>
      <c r="E2536" t="s">
        <v>15</v>
      </c>
      <c r="F2536" t="s">
        <v>6329</v>
      </c>
      <c r="G2536">
        <v>4</v>
      </c>
      <c r="H2536" t="s">
        <v>6322</v>
      </c>
      <c r="I2536" t="s">
        <v>418</v>
      </c>
      <c r="J2536" t="s">
        <v>996</v>
      </c>
      <c r="K2536" t="s">
        <v>20</v>
      </c>
      <c r="L2536" t="s">
        <v>6330</v>
      </c>
      <c r="M2536" s="3" t="str">
        <f>HYPERLINK("..\..\Imagery\ScannedPhotos\1993\VN93-384.2.jpg")</f>
        <v>..\..\Imagery\ScannedPhotos\1993\VN93-384.2.jpg</v>
      </c>
    </row>
    <row r="2537" spans="1:13" x14ac:dyDescent="0.25">
      <c r="A2537" t="s">
        <v>6331</v>
      </c>
      <c r="B2537">
        <v>508390</v>
      </c>
      <c r="C2537">
        <v>5715978</v>
      </c>
      <c r="D2537">
        <v>21</v>
      </c>
      <c r="E2537" t="s">
        <v>15</v>
      </c>
      <c r="F2537" t="s">
        <v>6332</v>
      </c>
      <c r="G2537">
        <v>1</v>
      </c>
      <c r="H2537" t="s">
        <v>1338</v>
      </c>
      <c r="I2537" t="s">
        <v>195</v>
      </c>
      <c r="J2537" t="s">
        <v>570</v>
      </c>
      <c r="K2537" t="s">
        <v>56</v>
      </c>
      <c r="L2537" t="s">
        <v>6333</v>
      </c>
      <c r="M2537" s="3" t="str">
        <f>HYPERLINK("..\..\Imagery\ScannedPhotos\1993\VN93-208.jpg")</f>
        <v>..\..\Imagery\ScannedPhotos\1993\VN93-208.jpg</v>
      </c>
    </row>
    <row r="2538" spans="1:13" x14ac:dyDescent="0.25">
      <c r="A2538" t="s">
        <v>6334</v>
      </c>
      <c r="B2538">
        <v>502906</v>
      </c>
      <c r="C2538">
        <v>5842752</v>
      </c>
      <c r="D2538">
        <v>21</v>
      </c>
      <c r="E2538" t="s">
        <v>15</v>
      </c>
      <c r="F2538" t="s">
        <v>6335</v>
      </c>
      <c r="G2538">
        <v>3</v>
      </c>
      <c r="H2538" t="s">
        <v>3303</v>
      </c>
      <c r="I2538" t="s">
        <v>129</v>
      </c>
      <c r="J2538" t="s">
        <v>300</v>
      </c>
      <c r="K2538" t="s">
        <v>20</v>
      </c>
      <c r="L2538" t="s">
        <v>6336</v>
      </c>
      <c r="M2538" s="3" t="str">
        <f>HYPERLINK("..\..\Imagery\ScannedPhotos\1986\SN86-239.1.jpg")</f>
        <v>..\..\Imagery\ScannedPhotos\1986\SN86-239.1.jpg</v>
      </c>
    </row>
    <row r="2539" spans="1:13" x14ac:dyDescent="0.25">
      <c r="A2539" t="s">
        <v>6337</v>
      </c>
      <c r="B2539">
        <v>546771</v>
      </c>
      <c r="C2539">
        <v>5835258</v>
      </c>
      <c r="D2539">
        <v>21</v>
      </c>
      <c r="E2539" t="s">
        <v>15</v>
      </c>
      <c r="F2539" t="s">
        <v>6338</v>
      </c>
      <c r="G2539">
        <v>2</v>
      </c>
      <c r="H2539" t="s">
        <v>4591</v>
      </c>
      <c r="I2539" t="s">
        <v>79</v>
      </c>
      <c r="J2539" t="s">
        <v>1233</v>
      </c>
      <c r="K2539" t="s">
        <v>56</v>
      </c>
      <c r="L2539" t="s">
        <v>6339</v>
      </c>
      <c r="M2539" s="3" t="str">
        <f>HYPERLINK("..\..\Imagery\ScannedPhotos\1986\SN86-247.1.jpg")</f>
        <v>..\..\Imagery\ScannedPhotos\1986\SN86-247.1.jpg</v>
      </c>
    </row>
    <row r="2540" spans="1:13" x14ac:dyDescent="0.25">
      <c r="A2540" t="s">
        <v>6340</v>
      </c>
      <c r="B2540">
        <v>450609</v>
      </c>
      <c r="C2540">
        <v>5899558</v>
      </c>
      <c r="D2540">
        <v>21</v>
      </c>
      <c r="E2540" t="s">
        <v>15</v>
      </c>
      <c r="F2540" t="s">
        <v>6341</v>
      </c>
      <c r="G2540">
        <v>1</v>
      </c>
      <c r="H2540" t="s">
        <v>6176</v>
      </c>
      <c r="I2540" t="s">
        <v>375</v>
      </c>
      <c r="J2540" t="s">
        <v>2247</v>
      </c>
      <c r="K2540" t="s">
        <v>56</v>
      </c>
      <c r="L2540" t="s">
        <v>6342</v>
      </c>
      <c r="M2540" s="3" t="str">
        <f>HYPERLINK("..\..\Imagery\ScannedPhotos\1984\NN84-236.jpg")</f>
        <v>..\..\Imagery\ScannedPhotos\1984\NN84-236.jpg</v>
      </c>
    </row>
    <row r="2541" spans="1:13" x14ac:dyDescent="0.25">
      <c r="A2541" t="s">
        <v>6343</v>
      </c>
      <c r="B2541">
        <v>588767</v>
      </c>
      <c r="C2541">
        <v>5773125</v>
      </c>
      <c r="D2541">
        <v>21</v>
      </c>
      <c r="E2541" t="s">
        <v>15</v>
      </c>
      <c r="F2541" t="s">
        <v>6344</v>
      </c>
      <c r="G2541">
        <v>4</v>
      </c>
      <c r="H2541" t="s">
        <v>1513</v>
      </c>
      <c r="I2541" t="s">
        <v>94</v>
      </c>
      <c r="J2541" t="s">
        <v>1514</v>
      </c>
      <c r="K2541" t="s">
        <v>20</v>
      </c>
      <c r="L2541" t="s">
        <v>6345</v>
      </c>
      <c r="M2541" s="3" t="str">
        <f>HYPERLINK("..\..\Imagery\ScannedPhotos\1992\VO92-020.2.jpg")</f>
        <v>..\..\Imagery\ScannedPhotos\1992\VO92-020.2.jpg</v>
      </c>
    </row>
    <row r="2542" spans="1:13" x14ac:dyDescent="0.25">
      <c r="A2542" t="s">
        <v>6343</v>
      </c>
      <c r="B2542">
        <v>588767</v>
      </c>
      <c r="C2542">
        <v>5773125</v>
      </c>
      <c r="D2542">
        <v>21</v>
      </c>
      <c r="E2542" t="s">
        <v>15</v>
      </c>
      <c r="F2542" t="s">
        <v>6346</v>
      </c>
      <c r="G2542">
        <v>4</v>
      </c>
      <c r="H2542" t="s">
        <v>1513</v>
      </c>
      <c r="I2542" t="s">
        <v>209</v>
      </c>
      <c r="J2542" t="s">
        <v>1514</v>
      </c>
      <c r="K2542" t="s">
        <v>20</v>
      </c>
      <c r="L2542" t="s">
        <v>6347</v>
      </c>
      <c r="M2542" s="3" t="str">
        <f>HYPERLINK("..\..\Imagery\ScannedPhotos\1992\VO92-020.3.jpg")</f>
        <v>..\..\Imagery\ScannedPhotos\1992\VO92-020.3.jpg</v>
      </c>
    </row>
    <row r="2543" spans="1:13" x14ac:dyDescent="0.25">
      <c r="A2543" t="s">
        <v>6348</v>
      </c>
      <c r="B2543">
        <v>582697</v>
      </c>
      <c r="C2543">
        <v>5835663</v>
      </c>
      <c r="D2543">
        <v>21</v>
      </c>
      <c r="E2543" t="s">
        <v>15</v>
      </c>
      <c r="F2543" t="s">
        <v>6349</v>
      </c>
      <c r="G2543">
        <v>2</v>
      </c>
      <c r="H2543" t="s">
        <v>3252</v>
      </c>
      <c r="I2543" t="s">
        <v>195</v>
      </c>
      <c r="J2543" t="s">
        <v>100</v>
      </c>
      <c r="K2543" t="s">
        <v>20</v>
      </c>
      <c r="L2543" t="s">
        <v>3096</v>
      </c>
      <c r="M2543" s="3" t="str">
        <f>HYPERLINK("..\..\Imagery\ScannedPhotos\1986\SN86-385.2.jpg")</f>
        <v>..\..\Imagery\ScannedPhotos\1986\SN86-385.2.jpg</v>
      </c>
    </row>
    <row r="2544" spans="1:13" x14ac:dyDescent="0.25">
      <c r="A2544" t="s">
        <v>6348</v>
      </c>
      <c r="B2544">
        <v>582697</v>
      </c>
      <c r="C2544">
        <v>5835663</v>
      </c>
      <c r="D2544">
        <v>21</v>
      </c>
      <c r="E2544" t="s">
        <v>15</v>
      </c>
      <c r="F2544" t="s">
        <v>6350</v>
      </c>
      <c r="G2544">
        <v>2</v>
      </c>
      <c r="H2544" t="s">
        <v>3252</v>
      </c>
      <c r="I2544" t="s">
        <v>304</v>
      </c>
      <c r="J2544" t="s">
        <v>100</v>
      </c>
      <c r="K2544" t="s">
        <v>20</v>
      </c>
      <c r="L2544" t="s">
        <v>71</v>
      </c>
      <c r="M2544" s="3" t="str">
        <f>HYPERLINK("..\..\Imagery\ScannedPhotos\1986\SN86-385.1.jpg")</f>
        <v>..\..\Imagery\ScannedPhotos\1986\SN86-385.1.jpg</v>
      </c>
    </row>
    <row r="2545" spans="1:13" x14ac:dyDescent="0.25">
      <c r="A2545" t="s">
        <v>6351</v>
      </c>
      <c r="B2545">
        <v>577397</v>
      </c>
      <c r="C2545">
        <v>5832591</v>
      </c>
      <c r="D2545">
        <v>21</v>
      </c>
      <c r="E2545" t="s">
        <v>15</v>
      </c>
      <c r="F2545" t="s">
        <v>6352</v>
      </c>
      <c r="G2545">
        <v>1</v>
      </c>
      <c r="H2545" t="s">
        <v>3252</v>
      </c>
      <c r="I2545" t="s">
        <v>25</v>
      </c>
      <c r="J2545" t="s">
        <v>100</v>
      </c>
      <c r="K2545" t="s">
        <v>20</v>
      </c>
      <c r="L2545" t="s">
        <v>6353</v>
      </c>
      <c r="M2545" s="3" t="str">
        <f>HYPERLINK("..\..\Imagery\ScannedPhotos\1986\SN86-393.jpg")</f>
        <v>..\..\Imagery\ScannedPhotos\1986\SN86-393.jpg</v>
      </c>
    </row>
    <row r="2546" spans="1:13" x14ac:dyDescent="0.25">
      <c r="A2546" t="s">
        <v>6354</v>
      </c>
      <c r="B2546">
        <v>578068</v>
      </c>
      <c r="C2546">
        <v>5832653</v>
      </c>
      <c r="D2546">
        <v>21</v>
      </c>
      <c r="E2546" t="s">
        <v>15</v>
      </c>
      <c r="F2546" t="s">
        <v>6355</v>
      </c>
      <c r="G2546">
        <v>2</v>
      </c>
      <c r="H2546" t="s">
        <v>3252</v>
      </c>
      <c r="I2546" t="s">
        <v>360</v>
      </c>
      <c r="J2546" t="s">
        <v>100</v>
      </c>
      <c r="K2546" t="s">
        <v>20</v>
      </c>
      <c r="L2546" t="s">
        <v>642</v>
      </c>
      <c r="M2546" s="3" t="str">
        <f>HYPERLINK("..\..\Imagery\ScannedPhotos\1986\SN86-394.1.jpg")</f>
        <v>..\..\Imagery\ScannedPhotos\1986\SN86-394.1.jpg</v>
      </c>
    </row>
    <row r="2547" spans="1:13" x14ac:dyDescent="0.25">
      <c r="A2547" t="s">
        <v>6354</v>
      </c>
      <c r="B2547">
        <v>578068</v>
      </c>
      <c r="C2547">
        <v>5832653</v>
      </c>
      <c r="D2547">
        <v>21</v>
      </c>
      <c r="E2547" t="s">
        <v>15</v>
      </c>
      <c r="F2547" t="s">
        <v>6356</v>
      </c>
      <c r="G2547">
        <v>2</v>
      </c>
      <c r="H2547" t="s">
        <v>3252</v>
      </c>
      <c r="I2547" t="s">
        <v>647</v>
      </c>
      <c r="J2547" t="s">
        <v>100</v>
      </c>
      <c r="K2547" t="s">
        <v>20</v>
      </c>
      <c r="L2547" t="s">
        <v>1719</v>
      </c>
      <c r="M2547" s="3" t="str">
        <f>HYPERLINK("..\..\Imagery\ScannedPhotos\1986\SN86-394.2.jpg")</f>
        <v>..\..\Imagery\ScannedPhotos\1986\SN86-394.2.jpg</v>
      </c>
    </row>
    <row r="2548" spans="1:13" x14ac:dyDescent="0.25">
      <c r="A2548" t="s">
        <v>3775</v>
      </c>
      <c r="B2548">
        <v>578826</v>
      </c>
      <c r="C2548">
        <v>5832773</v>
      </c>
      <c r="D2548">
        <v>21</v>
      </c>
      <c r="E2548" t="s">
        <v>15</v>
      </c>
      <c r="F2548" t="s">
        <v>6357</v>
      </c>
      <c r="G2548">
        <v>3</v>
      </c>
      <c r="H2548" t="s">
        <v>3252</v>
      </c>
      <c r="I2548" t="s">
        <v>122</v>
      </c>
      <c r="J2548" t="s">
        <v>100</v>
      </c>
      <c r="K2548" t="s">
        <v>20</v>
      </c>
      <c r="L2548" t="s">
        <v>6358</v>
      </c>
      <c r="M2548" s="3" t="str">
        <f>HYPERLINK("..\..\Imagery\ScannedPhotos\1986\SN86-396.3.jpg")</f>
        <v>..\..\Imagery\ScannedPhotos\1986\SN86-396.3.jpg</v>
      </c>
    </row>
    <row r="2549" spans="1:13" x14ac:dyDescent="0.25">
      <c r="A2549" t="s">
        <v>3775</v>
      </c>
      <c r="B2549">
        <v>578826</v>
      </c>
      <c r="C2549">
        <v>5832773</v>
      </c>
      <c r="D2549">
        <v>21</v>
      </c>
      <c r="E2549" t="s">
        <v>15</v>
      </c>
      <c r="F2549" t="s">
        <v>6359</v>
      </c>
      <c r="G2549">
        <v>3</v>
      </c>
      <c r="H2549" t="s">
        <v>3252</v>
      </c>
      <c r="I2549" t="s">
        <v>114</v>
      </c>
      <c r="J2549" t="s">
        <v>100</v>
      </c>
      <c r="K2549" t="s">
        <v>56</v>
      </c>
      <c r="L2549" t="s">
        <v>6358</v>
      </c>
      <c r="M2549" s="3" t="str">
        <f>HYPERLINK("..\..\Imagery\ScannedPhotos\1986\SN86-396.1.jpg")</f>
        <v>..\..\Imagery\ScannedPhotos\1986\SN86-396.1.jpg</v>
      </c>
    </row>
    <row r="2550" spans="1:13" x14ac:dyDescent="0.25">
      <c r="A2550" t="s">
        <v>6360</v>
      </c>
      <c r="B2550">
        <v>451009</v>
      </c>
      <c r="C2550">
        <v>5773044</v>
      </c>
      <c r="D2550">
        <v>21</v>
      </c>
      <c r="E2550" t="s">
        <v>15</v>
      </c>
      <c r="F2550" t="s">
        <v>6361</v>
      </c>
      <c r="G2550">
        <v>9</v>
      </c>
      <c r="H2550" t="s">
        <v>4076</v>
      </c>
      <c r="I2550" t="s">
        <v>209</v>
      </c>
      <c r="J2550" t="s">
        <v>905</v>
      </c>
      <c r="K2550" t="s">
        <v>20</v>
      </c>
      <c r="L2550" t="s">
        <v>6362</v>
      </c>
      <c r="M2550" s="3" t="str">
        <f>HYPERLINK("..\..\Imagery\ScannedPhotos\1992\VN92-161.8.jpg")</f>
        <v>..\..\Imagery\ScannedPhotos\1992\VN92-161.8.jpg</v>
      </c>
    </row>
    <row r="2551" spans="1:13" x14ac:dyDescent="0.25">
      <c r="A2551" t="s">
        <v>6360</v>
      </c>
      <c r="B2551">
        <v>451009</v>
      </c>
      <c r="C2551">
        <v>5773044</v>
      </c>
      <c r="D2551">
        <v>21</v>
      </c>
      <c r="E2551" t="s">
        <v>15</v>
      </c>
      <c r="F2551" t="s">
        <v>6363</v>
      </c>
      <c r="G2551">
        <v>9</v>
      </c>
      <c r="H2551" t="s">
        <v>4076</v>
      </c>
      <c r="I2551" t="s">
        <v>85</v>
      </c>
      <c r="J2551" t="s">
        <v>905</v>
      </c>
      <c r="K2551" t="s">
        <v>20</v>
      </c>
      <c r="L2551" t="s">
        <v>6364</v>
      </c>
      <c r="M2551" s="3" t="str">
        <f>HYPERLINK("..\..\Imagery\ScannedPhotos\1992\VN92-161.5.jpg")</f>
        <v>..\..\Imagery\ScannedPhotos\1992\VN92-161.5.jpg</v>
      </c>
    </row>
    <row r="2552" spans="1:13" x14ac:dyDescent="0.25">
      <c r="A2552" t="s">
        <v>6360</v>
      </c>
      <c r="B2552">
        <v>451009</v>
      </c>
      <c r="C2552">
        <v>5773044</v>
      </c>
      <c r="D2552">
        <v>21</v>
      </c>
      <c r="E2552" t="s">
        <v>15</v>
      </c>
      <c r="F2552" t="s">
        <v>6365</v>
      </c>
      <c r="G2552">
        <v>9</v>
      </c>
      <c r="H2552" t="s">
        <v>4076</v>
      </c>
      <c r="I2552" t="s">
        <v>375</v>
      </c>
      <c r="J2552" t="s">
        <v>905</v>
      </c>
      <c r="K2552" t="s">
        <v>20</v>
      </c>
      <c r="L2552" t="s">
        <v>6364</v>
      </c>
      <c r="M2552" s="3" t="str">
        <f>HYPERLINK("..\..\Imagery\ScannedPhotos\1992\VN92-161.6.jpg")</f>
        <v>..\..\Imagery\ScannedPhotos\1992\VN92-161.6.jpg</v>
      </c>
    </row>
    <row r="2553" spans="1:13" x14ac:dyDescent="0.25">
      <c r="A2553" t="s">
        <v>6366</v>
      </c>
      <c r="B2553">
        <v>472700</v>
      </c>
      <c r="C2553">
        <v>5784000</v>
      </c>
      <c r="D2553">
        <v>21</v>
      </c>
      <c r="E2553" t="s">
        <v>15</v>
      </c>
      <c r="F2553" t="s">
        <v>6367</v>
      </c>
      <c r="G2553">
        <v>1</v>
      </c>
      <c r="H2553" t="s">
        <v>904</v>
      </c>
      <c r="I2553" t="s">
        <v>79</v>
      </c>
      <c r="J2553" t="s">
        <v>905</v>
      </c>
      <c r="K2553" t="s">
        <v>56</v>
      </c>
      <c r="L2553" t="s">
        <v>2961</v>
      </c>
      <c r="M2553" s="3" t="str">
        <f>HYPERLINK("..\..\Imagery\ScannedPhotos\1992\VN92-201.jpg")</f>
        <v>..\..\Imagery\ScannedPhotos\1992\VN92-201.jpg</v>
      </c>
    </row>
    <row r="2554" spans="1:13" x14ac:dyDescent="0.25">
      <c r="A2554" t="s">
        <v>6368</v>
      </c>
      <c r="B2554">
        <v>433450</v>
      </c>
      <c r="C2554">
        <v>5898751</v>
      </c>
      <c r="D2554">
        <v>21</v>
      </c>
      <c r="E2554" t="s">
        <v>15</v>
      </c>
      <c r="F2554" t="s">
        <v>6369</v>
      </c>
      <c r="G2554">
        <v>3</v>
      </c>
      <c r="H2554" t="s">
        <v>2065</v>
      </c>
      <c r="I2554" t="s">
        <v>143</v>
      </c>
      <c r="J2554" t="s">
        <v>156</v>
      </c>
      <c r="K2554" t="s">
        <v>20</v>
      </c>
      <c r="L2554" t="s">
        <v>6370</v>
      </c>
      <c r="M2554" s="3" t="str">
        <f>HYPERLINK("..\..\Imagery\ScannedPhotos\1984\NN84-067.3.jpg")</f>
        <v>..\..\Imagery\ScannedPhotos\1984\NN84-067.3.jpg</v>
      </c>
    </row>
    <row r="2555" spans="1:13" x14ac:dyDescent="0.25">
      <c r="A2555" t="s">
        <v>4211</v>
      </c>
      <c r="B2555">
        <v>468581</v>
      </c>
      <c r="C2555">
        <v>6004991</v>
      </c>
      <c r="D2555">
        <v>21</v>
      </c>
      <c r="E2555" t="s">
        <v>15</v>
      </c>
      <c r="F2555" t="s">
        <v>6371</v>
      </c>
      <c r="G2555">
        <v>3</v>
      </c>
      <c r="H2555" t="s">
        <v>1636</v>
      </c>
      <c r="I2555" t="s">
        <v>132</v>
      </c>
      <c r="J2555" t="s">
        <v>652</v>
      </c>
      <c r="K2555" t="s">
        <v>56</v>
      </c>
      <c r="L2555" t="s">
        <v>6372</v>
      </c>
      <c r="M2555" s="3" t="str">
        <f>HYPERLINK("..\..\Imagery\ScannedPhotos\1980\CG80-323.1.jpg")</f>
        <v>..\..\Imagery\ScannedPhotos\1980\CG80-323.1.jpg</v>
      </c>
    </row>
    <row r="2556" spans="1:13" x14ac:dyDescent="0.25">
      <c r="A2556" t="s">
        <v>6373</v>
      </c>
      <c r="B2556">
        <v>438475</v>
      </c>
      <c r="C2556">
        <v>5773019</v>
      </c>
      <c r="D2556">
        <v>21</v>
      </c>
      <c r="E2556" t="s">
        <v>15</v>
      </c>
      <c r="F2556" t="s">
        <v>6374</v>
      </c>
      <c r="G2556">
        <v>3</v>
      </c>
      <c r="H2556" t="s">
        <v>904</v>
      </c>
      <c r="I2556" t="s">
        <v>94</v>
      </c>
      <c r="J2556" t="s">
        <v>905</v>
      </c>
      <c r="K2556" t="s">
        <v>56</v>
      </c>
      <c r="L2556" t="s">
        <v>6375</v>
      </c>
      <c r="M2556" s="3" t="str">
        <f>HYPERLINK("..\..\Imagery\ScannedPhotos\1992\VN92-213.2.jpg")</f>
        <v>..\..\Imagery\ScannedPhotos\1992\VN92-213.2.jpg</v>
      </c>
    </row>
    <row r="2557" spans="1:13" x14ac:dyDescent="0.25">
      <c r="A2557" t="s">
        <v>6376</v>
      </c>
      <c r="B2557">
        <v>531770</v>
      </c>
      <c r="C2557">
        <v>5960275</v>
      </c>
      <c r="D2557">
        <v>21</v>
      </c>
      <c r="E2557" t="s">
        <v>15</v>
      </c>
      <c r="F2557" t="s">
        <v>6377</v>
      </c>
      <c r="G2557">
        <v>2</v>
      </c>
      <c r="H2557" t="s">
        <v>1188</v>
      </c>
      <c r="I2557" t="s">
        <v>47</v>
      </c>
      <c r="J2557" t="s">
        <v>48</v>
      </c>
      <c r="K2557" t="s">
        <v>228</v>
      </c>
      <c r="L2557" t="s">
        <v>6378</v>
      </c>
      <c r="M2557" s="3" t="str">
        <f>HYPERLINK("..\..\Imagery\ScannedPhotos\1981\CG81-298.1.jpg")</f>
        <v>..\..\Imagery\ScannedPhotos\1981\CG81-298.1.jpg</v>
      </c>
    </row>
    <row r="2558" spans="1:13" x14ac:dyDescent="0.25">
      <c r="A2558" t="s">
        <v>6379</v>
      </c>
      <c r="B2558">
        <v>537578</v>
      </c>
      <c r="C2558">
        <v>5960873</v>
      </c>
      <c r="D2558">
        <v>21</v>
      </c>
      <c r="E2558" t="s">
        <v>15</v>
      </c>
      <c r="F2558" t="s">
        <v>6380</v>
      </c>
      <c r="G2558">
        <v>1</v>
      </c>
      <c r="H2558" t="s">
        <v>2733</v>
      </c>
      <c r="I2558" t="s">
        <v>119</v>
      </c>
      <c r="J2558" t="s">
        <v>814</v>
      </c>
      <c r="K2558" t="s">
        <v>228</v>
      </c>
      <c r="L2558" t="s">
        <v>6381</v>
      </c>
      <c r="M2558" s="3" t="str">
        <f>HYPERLINK("..\..\Imagery\ScannedPhotos\1981\CG81-305.jpg")</f>
        <v>..\..\Imagery\ScannedPhotos\1981\CG81-305.jpg</v>
      </c>
    </row>
    <row r="2559" spans="1:13" x14ac:dyDescent="0.25">
      <c r="A2559" t="s">
        <v>1403</v>
      </c>
      <c r="B2559">
        <v>537298</v>
      </c>
      <c r="C2559">
        <v>5961593</v>
      </c>
      <c r="D2559">
        <v>21</v>
      </c>
      <c r="E2559" t="s">
        <v>15</v>
      </c>
      <c r="F2559" t="s">
        <v>6382</v>
      </c>
      <c r="G2559">
        <v>31</v>
      </c>
      <c r="H2559" t="s">
        <v>2733</v>
      </c>
      <c r="I2559" t="s">
        <v>114</v>
      </c>
      <c r="J2559" t="s">
        <v>814</v>
      </c>
      <c r="K2559" t="s">
        <v>228</v>
      </c>
      <c r="L2559" t="s">
        <v>6383</v>
      </c>
      <c r="M2559" s="3" t="str">
        <f>HYPERLINK("..\..\Imagery\ScannedPhotos\1981\CG81-306.31.jpg")</f>
        <v>..\..\Imagery\ScannedPhotos\1981\CG81-306.31.jpg</v>
      </c>
    </row>
    <row r="2560" spans="1:13" x14ac:dyDescent="0.25">
      <c r="A2560" t="s">
        <v>1403</v>
      </c>
      <c r="B2560">
        <v>537298</v>
      </c>
      <c r="C2560">
        <v>5961593</v>
      </c>
      <c r="D2560">
        <v>21</v>
      </c>
      <c r="E2560" t="s">
        <v>15</v>
      </c>
      <c r="F2560" t="s">
        <v>6384</v>
      </c>
      <c r="G2560">
        <v>31</v>
      </c>
      <c r="H2560" t="s">
        <v>1405</v>
      </c>
      <c r="I2560" t="s">
        <v>122</v>
      </c>
      <c r="J2560" t="s">
        <v>48</v>
      </c>
      <c r="K2560" t="s">
        <v>20</v>
      </c>
      <c r="L2560" t="s">
        <v>1985</v>
      </c>
      <c r="M2560" s="3" t="str">
        <f>HYPERLINK("..\..\Imagery\ScannedPhotos\1981\CG81-306.7.jpg")</f>
        <v>..\..\Imagery\ScannedPhotos\1981\CG81-306.7.jpg</v>
      </c>
    </row>
    <row r="2561" spans="1:13" x14ac:dyDescent="0.25">
      <c r="A2561" t="s">
        <v>1403</v>
      </c>
      <c r="B2561">
        <v>537298</v>
      </c>
      <c r="C2561">
        <v>5961593</v>
      </c>
      <c r="D2561">
        <v>21</v>
      </c>
      <c r="E2561" t="s">
        <v>15</v>
      </c>
      <c r="F2561" t="s">
        <v>6385</v>
      </c>
      <c r="G2561">
        <v>31</v>
      </c>
      <c r="H2561" t="s">
        <v>1405</v>
      </c>
      <c r="I2561" t="s">
        <v>119</v>
      </c>
      <c r="J2561" t="s">
        <v>48</v>
      </c>
      <c r="K2561" t="s">
        <v>20</v>
      </c>
      <c r="L2561" t="s">
        <v>1985</v>
      </c>
      <c r="M2561" s="3" t="str">
        <f>HYPERLINK("..\..\Imagery\ScannedPhotos\1981\CG81-306.6.jpg")</f>
        <v>..\..\Imagery\ScannedPhotos\1981\CG81-306.6.jpg</v>
      </c>
    </row>
    <row r="2562" spans="1:13" x14ac:dyDescent="0.25">
      <c r="A2562" t="s">
        <v>1403</v>
      </c>
      <c r="B2562">
        <v>537298</v>
      </c>
      <c r="C2562">
        <v>5961593</v>
      </c>
      <c r="D2562">
        <v>21</v>
      </c>
      <c r="E2562" t="s">
        <v>15</v>
      </c>
      <c r="F2562" t="s">
        <v>6386</v>
      </c>
      <c r="G2562">
        <v>31</v>
      </c>
      <c r="H2562" t="s">
        <v>1405</v>
      </c>
      <c r="I2562" t="s">
        <v>114</v>
      </c>
      <c r="J2562" t="s">
        <v>48</v>
      </c>
      <c r="K2562" t="s">
        <v>20</v>
      </c>
      <c r="L2562" t="s">
        <v>1985</v>
      </c>
      <c r="M2562" s="3" t="str">
        <f>HYPERLINK("..\..\Imagery\ScannedPhotos\1981\CG81-306.5.jpg")</f>
        <v>..\..\Imagery\ScannedPhotos\1981\CG81-306.5.jpg</v>
      </c>
    </row>
    <row r="2563" spans="1:13" x14ac:dyDescent="0.25">
      <c r="A2563" t="s">
        <v>1403</v>
      </c>
      <c r="B2563">
        <v>537298</v>
      </c>
      <c r="C2563">
        <v>5961593</v>
      </c>
      <c r="D2563">
        <v>21</v>
      </c>
      <c r="E2563" t="s">
        <v>15</v>
      </c>
      <c r="F2563" t="s">
        <v>6387</v>
      </c>
      <c r="G2563">
        <v>31</v>
      </c>
      <c r="H2563" t="s">
        <v>1405</v>
      </c>
      <c r="I2563" t="s">
        <v>30</v>
      </c>
      <c r="J2563" t="s">
        <v>48</v>
      </c>
      <c r="K2563" t="s">
        <v>20</v>
      </c>
      <c r="L2563" t="s">
        <v>6388</v>
      </c>
      <c r="M2563" s="3" t="str">
        <f>HYPERLINK("..\..\Imagery\ScannedPhotos\1981\CG81-306.4.jpg")</f>
        <v>..\..\Imagery\ScannedPhotos\1981\CG81-306.4.jpg</v>
      </c>
    </row>
    <row r="2564" spans="1:13" x14ac:dyDescent="0.25">
      <c r="A2564" t="s">
        <v>1403</v>
      </c>
      <c r="B2564">
        <v>537298</v>
      </c>
      <c r="C2564">
        <v>5961593</v>
      </c>
      <c r="D2564">
        <v>21</v>
      </c>
      <c r="E2564" t="s">
        <v>15</v>
      </c>
      <c r="F2564" t="s">
        <v>6389</v>
      </c>
      <c r="G2564">
        <v>31</v>
      </c>
      <c r="H2564" t="s">
        <v>1405</v>
      </c>
      <c r="I2564" t="s">
        <v>126</v>
      </c>
      <c r="J2564" t="s">
        <v>48</v>
      </c>
      <c r="K2564" t="s">
        <v>20</v>
      </c>
      <c r="L2564" t="s">
        <v>1985</v>
      </c>
      <c r="M2564" s="3" t="str">
        <f>HYPERLINK("..\..\Imagery\ScannedPhotos\1981\CG81-306.8.jpg")</f>
        <v>..\..\Imagery\ScannedPhotos\1981\CG81-306.8.jpg</v>
      </c>
    </row>
    <row r="2565" spans="1:13" x14ac:dyDescent="0.25">
      <c r="A2565" t="s">
        <v>1602</v>
      </c>
      <c r="B2565">
        <v>575405</v>
      </c>
      <c r="C2565">
        <v>5929596</v>
      </c>
      <c r="D2565">
        <v>21</v>
      </c>
      <c r="E2565" t="s">
        <v>15</v>
      </c>
      <c r="F2565" t="s">
        <v>6390</v>
      </c>
      <c r="G2565">
        <v>6</v>
      </c>
      <c r="H2565" t="s">
        <v>1604</v>
      </c>
      <c r="I2565" t="s">
        <v>30</v>
      </c>
      <c r="J2565" t="s">
        <v>1605</v>
      </c>
      <c r="K2565" t="s">
        <v>20</v>
      </c>
      <c r="L2565" t="s">
        <v>6391</v>
      </c>
      <c r="M2565" s="3" t="str">
        <f>HYPERLINK("..\..\Imagery\ScannedPhotos\1985\CG85-418.5.jpg")</f>
        <v>..\..\Imagery\ScannedPhotos\1985\CG85-418.5.jpg</v>
      </c>
    </row>
    <row r="2566" spans="1:13" x14ac:dyDescent="0.25">
      <c r="A2566" t="s">
        <v>6392</v>
      </c>
      <c r="B2566">
        <v>547636</v>
      </c>
      <c r="C2566">
        <v>5806326</v>
      </c>
      <c r="D2566">
        <v>21</v>
      </c>
      <c r="E2566" t="s">
        <v>15</v>
      </c>
      <c r="F2566" t="s">
        <v>6393</v>
      </c>
      <c r="G2566">
        <v>2</v>
      </c>
      <c r="H2566" t="s">
        <v>2106</v>
      </c>
      <c r="I2566" t="s">
        <v>294</v>
      </c>
      <c r="J2566" t="s">
        <v>2107</v>
      </c>
      <c r="K2566" t="s">
        <v>20</v>
      </c>
      <c r="L2566" t="s">
        <v>6394</v>
      </c>
      <c r="M2566" s="3" t="str">
        <f>HYPERLINK("..\..\Imagery\ScannedPhotos\1987\CG87-004.1.jpg")</f>
        <v>..\..\Imagery\ScannedPhotos\1987\CG87-004.1.jpg</v>
      </c>
    </row>
    <row r="2567" spans="1:13" x14ac:dyDescent="0.25">
      <c r="A2567" t="s">
        <v>6395</v>
      </c>
      <c r="B2567">
        <v>515086</v>
      </c>
      <c r="C2567">
        <v>5805421</v>
      </c>
      <c r="D2567">
        <v>21</v>
      </c>
      <c r="E2567" t="s">
        <v>15</v>
      </c>
      <c r="F2567" t="s">
        <v>6396</v>
      </c>
      <c r="G2567">
        <v>1</v>
      </c>
      <c r="H2567" t="s">
        <v>2106</v>
      </c>
      <c r="I2567" t="s">
        <v>137</v>
      </c>
      <c r="J2567" t="s">
        <v>2107</v>
      </c>
      <c r="K2567" t="s">
        <v>20</v>
      </c>
      <c r="L2567" t="s">
        <v>6397</v>
      </c>
      <c r="M2567" s="3" t="str">
        <f>HYPERLINK("..\..\Imagery\ScannedPhotos\1987\CG87-017.jpg")</f>
        <v>..\..\Imagery\ScannedPhotos\1987\CG87-017.jpg</v>
      </c>
    </row>
    <row r="2568" spans="1:13" x14ac:dyDescent="0.25">
      <c r="A2568" t="s">
        <v>6398</v>
      </c>
      <c r="B2568">
        <v>515458</v>
      </c>
      <c r="C2568">
        <v>5793465</v>
      </c>
      <c r="D2568">
        <v>21</v>
      </c>
      <c r="E2568" t="s">
        <v>15</v>
      </c>
      <c r="F2568" t="s">
        <v>6399</v>
      </c>
      <c r="G2568">
        <v>1</v>
      </c>
      <c r="H2568" t="s">
        <v>2106</v>
      </c>
      <c r="I2568" t="s">
        <v>18</v>
      </c>
      <c r="J2568" t="s">
        <v>2107</v>
      </c>
      <c r="K2568" t="s">
        <v>20</v>
      </c>
      <c r="L2568" t="s">
        <v>6400</v>
      </c>
      <c r="M2568" s="3" t="str">
        <f>HYPERLINK("..\..\Imagery\ScannedPhotos\1987\CG87-035.jpg")</f>
        <v>..\..\Imagery\ScannedPhotos\1987\CG87-035.jpg</v>
      </c>
    </row>
    <row r="2569" spans="1:13" x14ac:dyDescent="0.25">
      <c r="A2569" t="s">
        <v>4923</v>
      </c>
      <c r="B2569">
        <v>471478</v>
      </c>
      <c r="C2569">
        <v>5866759</v>
      </c>
      <c r="D2569">
        <v>21</v>
      </c>
      <c r="E2569" t="s">
        <v>15</v>
      </c>
      <c r="F2569" t="s">
        <v>6401</v>
      </c>
      <c r="G2569">
        <v>6</v>
      </c>
      <c r="H2569" t="s">
        <v>1048</v>
      </c>
      <c r="I2569" t="s">
        <v>137</v>
      </c>
      <c r="J2569" t="s">
        <v>1038</v>
      </c>
      <c r="K2569" t="s">
        <v>20</v>
      </c>
      <c r="L2569" t="s">
        <v>6402</v>
      </c>
      <c r="M2569" s="3" t="str">
        <f>HYPERLINK("..\..\Imagery\ScannedPhotos\1991\DD91-110.2.jpg")</f>
        <v>..\..\Imagery\ScannedPhotos\1991\DD91-110.2.jpg</v>
      </c>
    </row>
    <row r="2570" spans="1:13" x14ac:dyDescent="0.25">
      <c r="A2570" t="s">
        <v>6403</v>
      </c>
      <c r="B2570">
        <v>573628</v>
      </c>
      <c r="C2570">
        <v>5916888</v>
      </c>
      <c r="D2570">
        <v>21</v>
      </c>
      <c r="E2570" t="s">
        <v>15</v>
      </c>
      <c r="F2570" t="s">
        <v>6404</v>
      </c>
      <c r="G2570">
        <v>2</v>
      </c>
      <c r="H2570" t="s">
        <v>1577</v>
      </c>
      <c r="I2570" t="s">
        <v>94</v>
      </c>
      <c r="J2570" t="s">
        <v>1374</v>
      </c>
      <c r="K2570" t="s">
        <v>20</v>
      </c>
      <c r="L2570" t="s">
        <v>6405</v>
      </c>
      <c r="M2570" s="3" t="str">
        <f>HYPERLINK("..\..\Imagery\ScannedPhotos\1985\GM85-629.2.jpg")</f>
        <v>..\..\Imagery\ScannedPhotos\1985\GM85-629.2.jpg</v>
      </c>
    </row>
    <row r="2571" spans="1:13" x14ac:dyDescent="0.25">
      <c r="A2571" t="s">
        <v>6403</v>
      </c>
      <c r="B2571">
        <v>573628</v>
      </c>
      <c r="C2571">
        <v>5916888</v>
      </c>
      <c r="D2571">
        <v>21</v>
      </c>
      <c r="E2571" t="s">
        <v>15</v>
      </c>
      <c r="F2571" t="s">
        <v>6406</v>
      </c>
      <c r="G2571">
        <v>2</v>
      </c>
      <c r="H2571" t="s">
        <v>1577</v>
      </c>
      <c r="I2571" t="s">
        <v>375</v>
      </c>
      <c r="J2571" t="s">
        <v>1374</v>
      </c>
      <c r="K2571" t="s">
        <v>20</v>
      </c>
      <c r="L2571" t="s">
        <v>6405</v>
      </c>
      <c r="M2571" s="3" t="str">
        <f>HYPERLINK("..\..\Imagery\ScannedPhotos\1985\GM85-629.1.jpg")</f>
        <v>..\..\Imagery\ScannedPhotos\1985\GM85-629.1.jpg</v>
      </c>
    </row>
    <row r="2572" spans="1:13" x14ac:dyDescent="0.25">
      <c r="A2572" t="s">
        <v>6407</v>
      </c>
      <c r="B2572">
        <v>534743</v>
      </c>
      <c r="C2572">
        <v>5819930</v>
      </c>
      <c r="D2572">
        <v>21</v>
      </c>
      <c r="E2572" t="s">
        <v>15</v>
      </c>
      <c r="F2572" t="s">
        <v>6408</v>
      </c>
      <c r="G2572">
        <v>2</v>
      </c>
      <c r="H2572" t="s">
        <v>2018</v>
      </c>
      <c r="I2572" t="s">
        <v>85</v>
      </c>
      <c r="J2572" t="s">
        <v>2019</v>
      </c>
      <c r="K2572" t="s">
        <v>20</v>
      </c>
      <c r="L2572" t="s">
        <v>6409</v>
      </c>
      <c r="M2572" s="3" t="str">
        <f>HYPERLINK("..\..\Imagery\ScannedPhotos\1986\SN86-018.2.jpg")</f>
        <v>..\..\Imagery\ScannedPhotos\1986\SN86-018.2.jpg</v>
      </c>
    </row>
    <row r="2573" spans="1:13" x14ac:dyDescent="0.25">
      <c r="A2573" t="s">
        <v>6410</v>
      </c>
      <c r="B2573">
        <v>535345</v>
      </c>
      <c r="C2573">
        <v>5820397</v>
      </c>
      <c r="D2573">
        <v>21</v>
      </c>
      <c r="E2573" t="s">
        <v>15</v>
      </c>
      <c r="F2573" t="s">
        <v>6411</v>
      </c>
      <c r="G2573">
        <v>1</v>
      </c>
      <c r="H2573" t="s">
        <v>2018</v>
      </c>
      <c r="I2573" t="s">
        <v>375</v>
      </c>
      <c r="J2573" t="s">
        <v>2019</v>
      </c>
      <c r="K2573" t="s">
        <v>20</v>
      </c>
      <c r="L2573" t="s">
        <v>6412</v>
      </c>
      <c r="M2573" s="3" t="str">
        <f>HYPERLINK("..\..\Imagery\ScannedPhotos\1986\SN86-021.jpg")</f>
        <v>..\..\Imagery\ScannedPhotos\1986\SN86-021.jpg</v>
      </c>
    </row>
    <row r="2574" spans="1:13" x14ac:dyDescent="0.25">
      <c r="A2574" t="s">
        <v>6413</v>
      </c>
      <c r="B2574">
        <v>535405</v>
      </c>
      <c r="C2574">
        <v>5820793</v>
      </c>
      <c r="D2574">
        <v>21</v>
      </c>
      <c r="E2574" t="s">
        <v>15</v>
      </c>
      <c r="F2574" t="s">
        <v>6414</v>
      </c>
      <c r="G2574">
        <v>1</v>
      </c>
      <c r="H2574" t="s">
        <v>2018</v>
      </c>
      <c r="I2574" t="s">
        <v>94</v>
      </c>
      <c r="J2574" t="s">
        <v>2019</v>
      </c>
      <c r="K2574" t="s">
        <v>20</v>
      </c>
      <c r="L2574" t="s">
        <v>6415</v>
      </c>
      <c r="M2574" s="3" t="str">
        <f>HYPERLINK("..\..\Imagery\ScannedPhotos\1986\SN86-023.jpg")</f>
        <v>..\..\Imagery\ScannedPhotos\1986\SN86-023.jpg</v>
      </c>
    </row>
    <row r="2575" spans="1:13" x14ac:dyDescent="0.25">
      <c r="A2575" t="s">
        <v>6416</v>
      </c>
      <c r="B2575">
        <v>541719</v>
      </c>
      <c r="C2575">
        <v>5822374</v>
      </c>
      <c r="D2575">
        <v>21</v>
      </c>
      <c r="E2575" t="s">
        <v>15</v>
      </c>
      <c r="F2575" t="s">
        <v>6417</v>
      </c>
      <c r="G2575">
        <v>1</v>
      </c>
      <c r="H2575" t="s">
        <v>2018</v>
      </c>
      <c r="I2575" t="s">
        <v>209</v>
      </c>
      <c r="J2575" t="s">
        <v>2019</v>
      </c>
      <c r="K2575" t="s">
        <v>20</v>
      </c>
      <c r="L2575" t="s">
        <v>3647</v>
      </c>
      <c r="M2575" s="3" t="str">
        <f>HYPERLINK("..\..\Imagery\ScannedPhotos\1986\SN86-031.jpg")</f>
        <v>..\..\Imagery\ScannedPhotos\1986\SN86-031.jpg</v>
      </c>
    </row>
    <row r="2576" spans="1:13" x14ac:dyDescent="0.25">
      <c r="A2576" t="s">
        <v>6057</v>
      </c>
      <c r="B2576">
        <v>404232</v>
      </c>
      <c r="C2576">
        <v>6000130</v>
      </c>
      <c r="D2576">
        <v>21</v>
      </c>
      <c r="E2576" t="s">
        <v>15</v>
      </c>
      <c r="F2576" t="s">
        <v>6418</v>
      </c>
      <c r="G2576">
        <v>7</v>
      </c>
      <c r="H2576" t="s">
        <v>1006</v>
      </c>
      <c r="I2576" t="s">
        <v>409</v>
      </c>
      <c r="J2576" t="s">
        <v>652</v>
      </c>
      <c r="K2576" t="s">
        <v>20</v>
      </c>
      <c r="L2576" t="s">
        <v>6419</v>
      </c>
      <c r="M2576" s="3" t="str">
        <f>HYPERLINK("..\..\Imagery\ScannedPhotos\1980\CG80-113.1.jpg")</f>
        <v>..\..\Imagery\ScannedPhotos\1980\CG80-113.1.jpg</v>
      </c>
    </row>
    <row r="2577" spans="1:14" x14ac:dyDescent="0.25">
      <c r="A2577" t="s">
        <v>6057</v>
      </c>
      <c r="B2577">
        <v>404232</v>
      </c>
      <c r="C2577">
        <v>6000130</v>
      </c>
      <c r="D2577">
        <v>21</v>
      </c>
      <c r="E2577" t="s">
        <v>15</v>
      </c>
      <c r="F2577" t="s">
        <v>6420</v>
      </c>
      <c r="G2577">
        <v>7</v>
      </c>
      <c r="H2577" t="s">
        <v>1156</v>
      </c>
      <c r="I2577" t="s">
        <v>137</v>
      </c>
      <c r="J2577" t="s">
        <v>95</v>
      </c>
      <c r="K2577" t="s">
        <v>20</v>
      </c>
      <c r="L2577" t="s">
        <v>6421</v>
      </c>
      <c r="M2577" s="3" t="str">
        <f>HYPERLINK("..\..\Imagery\ScannedPhotos\1980\CG80-113.5.jpg")</f>
        <v>..\..\Imagery\ScannedPhotos\1980\CG80-113.5.jpg</v>
      </c>
    </row>
    <row r="2578" spans="1:14" x14ac:dyDescent="0.25">
      <c r="A2578" t="s">
        <v>6422</v>
      </c>
      <c r="B2578">
        <v>582816</v>
      </c>
      <c r="C2578">
        <v>5820038</v>
      </c>
      <c r="D2578">
        <v>21</v>
      </c>
      <c r="E2578" t="s">
        <v>15</v>
      </c>
      <c r="F2578" t="s">
        <v>6423</v>
      </c>
      <c r="G2578">
        <v>2</v>
      </c>
      <c r="H2578" t="s">
        <v>3201</v>
      </c>
      <c r="I2578" t="s">
        <v>375</v>
      </c>
      <c r="J2578" t="s">
        <v>3202</v>
      </c>
      <c r="K2578" t="s">
        <v>20</v>
      </c>
      <c r="L2578" t="s">
        <v>6424</v>
      </c>
      <c r="M2578" s="3" t="str">
        <f>HYPERLINK("..\..\Imagery\ScannedPhotos\1986\SN86-407.2.jpg")</f>
        <v>..\..\Imagery\ScannedPhotos\1986\SN86-407.2.jpg</v>
      </c>
    </row>
    <row r="2579" spans="1:14" x14ac:dyDescent="0.25">
      <c r="A2579" t="s">
        <v>6425</v>
      </c>
      <c r="B2579">
        <v>439301</v>
      </c>
      <c r="C2579">
        <v>5776524</v>
      </c>
      <c r="D2579">
        <v>21</v>
      </c>
      <c r="E2579" t="s">
        <v>15</v>
      </c>
      <c r="F2579" t="s">
        <v>6426</v>
      </c>
      <c r="G2579">
        <v>2</v>
      </c>
      <c r="H2579" t="s">
        <v>2563</v>
      </c>
      <c r="I2579" t="s">
        <v>85</v>
      </c>
      <c r="J2579" t="s">
        <v>905</v>
      </c>
      <c r="K2579" t="s">
        <v>228</v>
      </c>
      <c r="L2579" t="s">
        <v>6427</v>
      </c>
      <c r="M2579" s="3" t="str">
        <f>HYPERLINK("..\..\Imagery\ScannedPhotos\1992\JA92-120.1E.jpg")</f>
        <v>..\..\Imagery\ScannedPhotos\1992\JA92-120.1E.jpg</v>
      </c>
      <c r="N2579" t="s">
        <v>1808</v>
      </c>
    </row>
    <row r="2580" spans="1:14" x14ac:dyDescent="0.25">
      <c r="A2580" t="s">
        <v>6428</v>
      </c>
      <c r="B2580">
        <v>439580</v>
      </c>
      <c r="C2580">
        <v>5776216</v>
      </c>
      <c r="D2580">
        <v>21</v>
      </c>
      <c r="E2580" t="s">
        <v>15</v>
      </c>
      <c r="F2580" t="s">
        <v>6429</v>
      </c>
      <c r="G2580">
        <v>2</v>
      </c>
      <c r="H2580" t="s">
        <v>2563</v>
      </c>
      <c r="I2580" t="s">
        <v>94</v>
      </c>
      <c r="J2580" t="s">
        <v>905</v>
      </c>
      <c r="K2580" t="s">
        <v>20</v>
      </c>
      <c r="L2580" t="s">
        <v>6430</v>
      </c>
      <c r="M2580" s="3" t="str">
        <f>HYPERLINK("..\..\Imagery\ScannedPhotos\1992\JA92-121.1.jpg")</f>
        <v>..\..\Imagery\ScannedPhotos\1992\JA92-121.1.jpg</v>
      </c>
    </row>
    <row r="2581" spans="1:14" x14ac:dyDescent="0.25">
      <c r="A2581" t="s">
        <v>6431</v>
      </c>
      <c r="B2581">
        <v>358494</v>
      </c>
      <c r="C2581">
        <v>5783646</v>
      </c>
      <c r="D2581">
        <v>21</v>
      </c>
      <c r="E2581" t="s">
        <v>15</v>
      </c>
      <c r="F2581" t="s">
        <v>6432</v>
      </c>
      <c r="G2581">
        <v>1</v>
      </c>
      <c r="H2581" t="s">
        <v>2236</v>
      </c>
      <c r="I2581" t="s">
        <v>126</v>
      </c>
      <c r="J2581" t="s">
        <v>80</v>
      </c>
      <c r="K2581" t="s">
        <v>20</v>
      </c>
      <c r="L2581" t="s">
        <v>6433</v>
      </c>
      <c r="M2581" s="3" t="str">
        <f>HYPERLINK("..\..\Imagery\ScannedPhotos\2000\CG00-290.jpg")</f>
        <v>..\..\Imagery\ScannedPhotos\2000\CG00-290.jpg</v>
      </c>
    </row>
    <row r="2582" spans="1:14" x14ac:dyDescent="0.25">
      <c r="A2582" t="s">
        <v>6434</v>
      </c>
      <c r="B2582">
        <v>355190</v>
      </c>
      <c r="C2582">
        <v>5782575</v>
      </c>
      <c r="D2582">
        <v>21</v>
      </c>
      <c r="E2582" t="s">
        <v>15</v>
      </c>
      <c r="F2582" t="s">
        <v>6435</v>
      </c>
      <c r="G2582">
        <v>1</v>
      </c>
      <c r="H2582" t="s">
        <v>2236</v>
      </c>
      <c r="I2582" t="s">
        <v>108</v>
      </c>
      <c r="J2582" t="s">
        <v>80</v>
      </c>
      <c r="K2582" t="s">
        <v>20</v>
      </c>
      <c r="L2582" t="s">
        <v>6436</v>
      </c>
      <c r="M2582" s="3" t="str">
        <f>HYPERLINK("..\..\Imagery\ScannedPhotos\2000\CG00-292.jpg")</f>
        <v>..\..\Imagery\ScannedPhotos\2000\CG00-292.jpg</v>
      </c>
    </row>
    <row r="2583" spans="1:14" x14ac:dyDescent="0.25">
      <c r="A2583" t="s">
        <v>6437</v>
      </c>
      <c r="B2583">
        <v>350971</v>
      </c>
      <c r="C2583">
        <v>5783640</v>
      </c>
      <c r="D2583">
        <v>21</v>
      </c>
      <c r="E2583" t="s">
        <v>15</v>
      </c>
      <c r="F2583" t="s">
        <v>6438</v>
      </c>
      <c r="G2583">
        <v>1</v>
      </c>
      <c r="H2583" t="s">
        <v>2236</v>
      </c>
      <c r="I2583" t="s">
        <v>132</v>
      </c>
      <c r="J2583" t="s">
        <v>80</v>
      </c>
      <c r="K2583" t="s">
        <v>56</v>
      </c>
      <c r="L2583" t="s">
        <v>6439</v>
      </c>
      <c r="M2583" s="3" t="str">
        <f>HYPERLINK("..\..\Imagery\ScannedPhotos\2000\CG00-295.jpg")</f>
        <v>..\..\Imagery\ScannedPhotos\2000\CG00-295.jpg</v>
      </c>
    </row>
    <row r="2584" spans="1:14" x14ac:dyDescent="0.25">
      <c r="A2584" t="s">
        <v>6440</v>
      </c>
      <c r="B2584">
        <v>375298</v>
      </c>
      <c r="C2584">
        <v>5906321</v>
      </c>
      <c r="D2584">
        <v>21</v>
      </c>
      <c r="E2584" t="s">
        <v>15</v>
      </c>
      <c r="F2584" t="s">
        <v>6441</v>
      </c>
      <c r="G2584">
        <v>2</v>
      </c>
      <c r="H2584" t="s">
        <v>1826</v>
      </c>
      <c r="I2584" t="s">
        <v>304</v>
      </c>
      <c r="J2584" t="s">
        <v>557</v>
      </c>
      <c r="K2584" t="s">
        <v>20</v>
      </c>
      <c r="L2584" t="s">
        <v>6442</v>
      </c>
      <c r="M2584" s="3" t="str">
        <f>HYPERLINK("..\..\Imagery\ScannedPhotos\1995\CG95-176.1.jpg")</f>
        <v>..\..\Imagery\ScannedPhotos\1995\CG95-176.1.jpg</v>
      </c>
    </row>
    <row r="2585" spans="1:14" x14ac:dyDescent="0.25">
      <c r="A2585" t="s">
        <v>6443</v>
      </c>
      <c r="B2585">
        <v>398558</v>
      </c>
      <c r="C2585">
        <v>5995108</v>
      </c>
      <c r="D2585">
        <v>21</v>
      </c>
      <c r="E2585" t="s">
        <v>15</v>
      </c>
      <c r="F2585" t="s">
        <v>6444</v>
      </c>
      <c r="G2585">
        <v>1</v>
      </c>
      <c r="H2585" t="s">
        <v>1593</v>
      </c>
      <c r="I2585" t="s">
        <v>18</v>
      </c>
      <c r="J2585" t="s">
        <v>1594</v>
      </c>
      <c r="K2585" t="s">
        <v>20</v>
      </c>
      <c r="L2585" t="s">
        <v>6445</v>
      </c>
      <c r="M2585" s="3" t="str">
        <f>HYPERLINK("..\..\Imagery\ScannedPhotos\1980\NN80-004.jpg")</f>
        <v>..\..\Imagery\ScannedPhotos\1980\NN80-004.jpg</v>
      </c>
    </row>
    <row r="2586" spans="1:14" x14ac:dyDescent="0.25">
      <c r="A2586" t="s">
        <v>6446</v>
      </c>
      <c r="B2586">
        <v>567984</v>
      </c>
      <c r="C2586">
        <v>5932790</v>
      </c>
      <c r="D2586">
        <v>21</v>
      </c>
      <c r="E2586" t="s">
        <v>15</v>
      </c>
      <c r="F2586" t="s">
        <v>6447</v>
      </c>
      <c r="G2586">
        <v>2</v>
      </c>
      <c r="H2586" t="s">
        <v>1582</v>
      </c>
      <c r="I2586" t="s">
        <v>386</v>
      </c>
      <c r="J2586" t="s">
        <v>1583</v>
      </c>
      <c r="K2586" t="s">
        <v>20</v>
      </c>
      <c r="L2586" t="s">
        <v>6448</v>
      </c>
      <c r="M2586" s="3" t="str">
        <f>HYPERLINK("..\..\Imagery\ScannedPhotos\1985\GM85-658.1.jpg")</f>
        <v>..\..\Imagery\ScannedPhotos\1985\GM85-658.1.jpg</v>
      </c>
    </row>
    <row r="2587" spans="1:14" x14ac:dyDescent="0.25">
      <c r="A2587" t="s">
        <v>6446</v>
      </c>
      <c r="B2587">
        <v>567984</v>
      </c>
      <c r="C2587">
        <v>5932790</v>
      </c>
      <c r="D2587">
        <v>21</v>
      </c>
      <c r="E2587" t="s">
        <v>15</v>
      </c>
      <c r="F2587" t="s">
        <v>6449</v>
      </c>
      <c r="G2587">
        <v>2</v>
      </c>
      <c r="H2587" t="s">
        <v>1582</v>
      </c>
      <c r="I2587" t="s">
        <v>217</v>
      </c>
      <c r="J2587" t="s">
        <v>1583</v>
      </c>
      <c r="K2587" t="s">
        <v>20</v>
      </c>
      <c r="L2587" t="s">
        <v>6448</v>
      </c>
      <c r="M2587" s="3" t="str">
        <f>HYPERLINK("..\..\Imagery\ScannedPhotos\1985\GM85-658.2.jpg")</f>
        <v>..\..\Imagery\ScannedPhotos\1985\GM85-658.2.jpg</v>
      </c>
    </row>
    <row r="2588" spans="1:14" x14ac:dyDescent="0.25">
      <c r="A2588" t="s">
        <v>1039</v>
      </c>
      <c r="B2588">
        <v>497507</v>
      </c>
      <c r="C2588">
        <v>5819366</v>
      </c>
      <c r="D2588">
        <v>21</v>
      </c>
      <c r="E2588" t="s">
        <v>15</v>
      </c>
      <c r="F2588" t="s">
        <v>6450</v>
      </c>
      <c r="G2588">
        <v>8</v>
      </c>
      <c r="H2588" t="s">
        <v>968</v>
      </c>
      <c r="I2588" t="s">
        <v>143</v>
      </c>
      <c r="J2588" t="s">
        <v>42</v>
      </c>
      <c r="K2588" t="s">
        <v>20</v>
      </c>
      <c r="L2588" t="s">
        <v>6451</v>
      </c>
      <c r="M2588" s="3" t="str">
        <f>HYPERLINK("..\..\Imagery\ScannedPhotos\1991\VN91-020.4.jpg")</f>
        <v>..\..\Imagery\ScannedPhotos\1991\VN91-020.4.jpg</v>
      </c>
    </row>
    <row r="2589" spans="1:14" x14ac:dyDescent="0.25">
      <c r="A2589" t="s">
        <v>6452</v>
      </c>
      <c r="B2589">
        <v>469046</v>
      </c>
      <c r="C2589">
        <v>6005156</v>
      </c>
      <c r="D2589">
        <v>21</v>
      </c>
      <c r="E2589" t="s">
        <v>15</v>
      </c>
      <c r="F2589" t="s">
        <v>6453</v>
      </c>
      <c r="G2589">
        <v>1</v>
      </c>
      <c r="H2589" t="s">
        <v>1636</v>
      </c>
      <c r="I2589" t="s">
        <v>129</v>
      </c>
      <c r="J2589" t="s">
        <v>652</v>
      </c>
      <c r="K2589" t="s">
        <v>20</v>
      </c>
      <c r="L2589" t="s">
        <v>6454</v>
      </c>
      <c r="M2589" s="3" t="str">
        <f>HYPERLINK("..\..\Imagery\ScannedPhotos\1980\CG80-324.jpg")</f>
        <v>..\..\Imagery\ScannedPhotos\1980\CG80-324.jpg</v>
      </c>
    </row>
    <row r="2590" spans="1:14" x14ac:dyDescent="0.25">
      <c r="A2590" t="s">
        <v>6455</v>
      </c>
      <c r="B2590">
        <v>363908</v>
      </c>
      <c r="C2590">
        <v>5776037</v>
      </c>
      <c r="D2590">
        <v>21</v>
      </c>
      <c r="E2590" t="s">
        <v>15</v>
      </c>
      <c r="F2590" t="s">
        <v>6456</v>
      </c>
      <c r="G2590">
        <v>2</v>
      </c>
      <c r="H2590" t="s">
        <v>6227</v>
      </c>
      <c r="I2590" t="s">
        <v>418</v>
      </c>
      <c r="J2590" t="s">
        <v>6228</v>
      </c>
      <c r="K2590" t="s">
        <v>56</v>
      </c>
      <c r="L2590" t="s">
        <v>6457</v>
      </c>
      <c r="M2590" s="3" t="str">
        <f>HYPERLINK("..\..\Imagery\ScannedPhotos\1999\CG99-327.2.jpg")</f>
        <v>..\..\Imagery\ScannedPhotos\1999\CG99-327.2.jpg</v>
      </c>
    </row>
    <row r="2591" spans="1:14" x14ac:dyDescent="0.25">
      <c r="A2591" t="s">
        <v>6458</v>
      </c>
      <c r="B2591">
        <v>364085</v>
      </c>
      <c r="C2591">
        <v>5784316</v>
      </c>
      <c r="D2591">
        <v>21</v>
      </c>
      <c r="E2591" t="s">
        <v>15</v>
      </c>
      <c r="F2591" t="s">
        <v>6459</v>
      </c>
      <c r="G2591">
        <v>1</v>
      </c>
      <c r="H2591" t="s">
        <v>6227</v>
      </c>
      <c r="I2591" t="s">
        <v>195</v>
      </c>
      <c r="J2591" t="s">
        <v>6228</v>
      </c>
      <c r="K2591" t="s">
        <v>56</v>
      </c>
      <c r="L2591" t="s">
        <v>6457</v>
      </c>
      <c r="M2591" s="3" t="str">
        <f>HYPERLINK("..\..\Imagery\ScannedPhotos\1999\CG99-333.jpg")</f>
        <v>..\..\Imagery\ScannedPhotos\1999\CG99-333.jpg</v>
      </c>
    </row>
    <row r="2592" spans="1:14" x14ac:dyDescent="0.25">
      <c r="A2592" t="s">
        <v>6460</v>
      </c>
      <c r="B2592">
        <v>365595</v>
      </c>
      <c r="C2592">
        <v>5786214</v>
      </c>
      <c r="D2592">
        <v>21</v>
      </c>
      <c r="E2592" t="s">
        <v>15</v>
      </c>
      <c r="F2592" t="s">
        <v>6461</v>
      </c>
      <c r="G2592">
        <v>1</v>
      </c>
      <c r="H2592" t="s">
        <v>6227</v>
      </c>
      <c r="I2592" t="s">
        <v>25</v>
      </c>
      <c r="J2592" t="s">
        <v>6228</v>
      </c>
      <c r="K2592" t="s">
        <v>56</v>
      </c>
      <c r="L2592" t="s">
        <v>6457</v>
      </c>
      <c r="M2592" s="3" t="str">
        <f>HYPERLINK("..\..\Imagery\ScannedPhotos\1999\CG99-335.jpg")</f>
        <v>..\..\Imagery\ScannedPhotos\1999\CG99-335.jpg</v>
      </c>
    </row>
    <row r="2593" spans="1:13" x14ac:dyDescent="0.25">
      <c r="A2593" t="s">
        <v>6462</v>
      </c>
      <c r="B2593">
        <v>388719</v>
      </c>
      <c r="C2593">
        <v>5783200</v>
      </c>
      <c r="D2593">
        <v>21</v>
      </c>
      <c r="E2593" t="s">
        <v>15</v>
      </c>
      <c r="F2593" t="s">
        <v>6463</v>
      </c>
      <c r="G2593">
        <v>1</v>
      </c>
      <c r="H2593" t="s">
        <v>6227</v>
      </c>
      <c r="I2593" t="s">
        <v>360</v>
      </c>
      <c r="J2593" t="s">
        <v>6228</v>
      </c>
      <c r="K2593" t="s">
        <v>20</v>
      </c>
      <c r="L2593" t="s">
        <v>6464</v>
      </c>
      <c r="M2593" s="3" t="str">
        <f>HYPERLINK("..\..\Imagery\ScannedPhotos\1999\CG99-338.jpg")</f>
        <v>..\..\Imagery\ScannedPhotos\1999\CG99-338.jpg</v>
      </c>
    </row>
    <row r="2594" spans="1:13" x14ac:dyDescent="0.25">
      <c r="A2594" t="s">
        <v>6465</v>
      </c>
      <c r="B2594">
        <v>406930</v>
      </c>
      <c r="C2594">
        <v>5776127</v>
      </c>
      <c r="D2594">
        <v>21</v>
      </c>
      <c r="E2594" t="s">
        <v>15</v>
      </c>
      <c r="F2594" t="s">
        <v>6466</v>
      </c>
      <c r="G2594">
        <v>3</v>
      </c>
      <c r="H2594" t="s">
        <v>6227</v>
      </c>
      <c r="I2594" t="s">
        <v>647</v>
      </c>
      <c r="J2594" t="s">
        <v>6228</v>
      </c>
      <c r="K2594" t="s">
        <v>20</v>
      </c>
      <c r="L2594" t="s">
        <v>6467</v>
      </c>
      <c r="M2594" s="3" t="str">
        <f>HYPERLINK("..\..\Imagery\ScannedPhotos\1999\CG99-339.1.jpg")</f>
        <v>..\..\Imagery\ScannedPhotos\1999\CG99-339.1.jpg</v>
      </c>
    </row>
    <row r="2595" spans="1:13" x14ac:dyDescent="0.25">
      <c r="A2595" t="s">
        <v>6465</v>
      </c>
      <c r="B2595">
        <v>406930</v>
      </c>
      <c r="C2595">
        <v>5776127</v>
      </c>
      <c r="D2595">
        <v>21</v>
      </c>
      <c r="E2595" t="s">
        <v>15</v>
      </c>
      <c r="F2595" t="s">
        <v>6468</v>
      </c>
      <c r="G2595">
        <v>3</v>
      </c>
      <c r="H2595" t="s">
        <v>6227</v>
      </c>
      <c r="I2595" t="s">
        <v>30</v>
      </c>
      <c r="J2595" t="s">
        <v>6228</v>
      </c>
      <c r="K2595" t="s">
        <v>20</v>
      </c>
      <c r="L2595" t="s">
        <v>6469</v>
      </c>
      <c r="M2595" s="3" t="str">
        <f>HYPERLINK("..\..\Imagery\ScannedPhotos\1999\CG99-339.2.jpg")</f>
        <v>..\..\Imagery\ScannedPhotos\1999\CG99-339.2.jpg</v>
      </c>
    </row>
    <row r="2596" spans="1:13" x14ac:dyDescent="0.25">
      <c r="A2596" t="s">
        <v>6465</v>
      </c>
      <c r="B2596">
        <v>406930</v>
      </c>
      <c r="C2596">
        <v>5776127</v>
      </c>
      <c r="D2596">
        <v>21</v>
      </c>
      <c r="E2596" t="s">
        <v>15</v>
      </c>
      <c r="F2596" t="s">
        <v>6470</v>
      </c>
      <c r="G2596">
        <v>3</v>
      </c>
      <c r="H2596" t="s">
        <v>6227</v>
      </c>
      <c r="I2596" t="s">
        <v>114</v>
      </c>
      <c r="J2596" t="s">
        <v>6228</v>
      </c>
      <c r="K2596" t="s">
        <v>20</v>
      </c>
      <c r="L2596" t="s">
        <v>6471</v>
      </c>
      <c r="M2596" s="3" t="str">
        <f>HYPERLINK("..\..\Imagery\ScannedPhotos\1999\CG99-339.3.jpg")</f>
        <v>..\..\Imagery\ScannedPhotos\1999\CG99-339.3.jpg</v>
      </c>
    </row>
    <row r="2597" spans="1:13" x14ac:dyDescent="0.25">
      <c r="A2597" t="s">
        <v>6472</v>
      </c>
      <c r="B2597">
        <v>406398</v>
      </c>
      <c r="C2597">
        <v>5780182</v>
      </c>
      <c r="D2597">
        <v>21</v>
      </c>
      <c r="E2597" t="s">
        <v>15</v>
      </c>
      <c r="F2597" t="s">
        <v>6473</v>
      </c>
      <c r="G2597">
        <v>2</v>
      </c>
      <c r="H2597" t="s">
        <v>6227</v>
      </c>
      <c r="I2597" t="s">
        <v>119</v>
      </c>
      <c r="J2597" t="s">
        <v>6228</v>
      </c>
      <c r="K2597" t="s">
        <v>20</v>
      </c>
      <c r="L2597" t="s">
        <v>6474</v>
      </c>
      <c r="M2597" s="3" t="str">
        <f>HYPERLINK("..\..\Imagery\ScannedPhotos\1999\CG99-341.1.jpg")</f>
        <v>..\..\Imagery\ScannedPhotos\1999\CG99-341.1.jpg</v>
      </c>
    </row>
    <row r="2598" spans="1:13" x14ac:dyDescent="0.25">
      <c r="A2598" t="s">
        <v>6472</v>
      </c>
      <c r="B2598">
        <v>406398</v>
      </c>
      <c r="C2598">
        <v>5780182</v>
      </c>
      <c r="D2598">
        <v>21</v>
      </c>
      <c r="E2598" t="s">
        <v>15</v>
      </c>
      <c r="F2598" t="s">
        <v>6475</v>
      </c>
      <c r="G2598">
        <v>2</v>
      </c>
      <c r="H2598" t="s">
        <v>6227</v>
      </c>
      <c r="I2598" t="s">
        <v>122</v>
      </c>
      <c r="J2598" t="s">
        <v>6228</v>
      </c>
      <c r="K2598" t="s">
        <v>20</v>
      </c>
      <c r="L2598" t="s">
        <v>6474</v>
      </c>
      <c r="M2598" s="3" t="str">
        <f>HYPERLINK("..\..\Imagery\ScannedPhotos\1999\CG99-341.2.jpg")</f>
        <v>..\..\Imagery\ScannedPhotos\1999\CG99-341.2.jpg</v>
      </c>
    </row>
    <row r="2599" spans="1:13" x14ac:dyDescent="0.25">
      <c r="A2599" t="s">
        <v>1857</v>
      </c>
      <c r="B2599">
        <v>580357</v>
      </c>
      <c r="C2599">
        <v>5900486</v>
      </c>
      <c r="D2599">
        <v>21</v>
      </c>
      <c r="E2599" t="s">
        <v>15</v>
      </c>
      <c r="F2599" t="s">
        <v>6476</v>
      </c>
      <c r="G2599">
        <v>3</v>
      </c>
      <c r="H2599" t="s">
        <v>136</v>
      </c>
      <c r="I2599" t="s">
        <v>195</v>
      </c>
      <c r="J2599" t="s">
        <v>138</v>
      </c>
      <c r="K2599" t="s">
        <v>20</v>
      </c>
      <c r="L2599" t="s">
        <v>1859</v>
      </c>
      <c r="M2599" s="3" t="str">
        <f>HYPERLINK("..\..\Imagery\ScannedPhotos\1985\GM85-547.1.jpg")</f>
        <v>..\..\Imagery\ScannedPhotos\1985\GM85-547.1.jpg</v>
      </c>
    </row>
    <row r="2600" spans="1:13" x14ac:dyDescent="0.25">
      <c r="A2600" t="s">
        <v>6477</v>
      </c>
      <c r="B2600">
        <v>466538</v>
      </c>
      <c r="C2600">
        <v>6008029</v>
      </c>
      <c r="D2600">
        <v>21</v>
      </c>
      <c r="E2600" t="s">
        <v>15</v>
      </c>
      <c r="F2600" t="s">
        <v>6478</v>
      </c>
      <c r="G2600">
        <v>1</v>
      </c>
      <c r="H2600" t="s">
        <v>1326</v>
      </c>
      <c r="I2600" t="s">
        <v>41</v>
      </c>
      <c r="J2600" t="s">
        <v>95</v>
      </c>
      <c r="K2600" t="s">
        <v>20</v>
      </c>
      <c r="L2600" t="s">
        <v>6479</v>
      </c>
      <c r="M2600" s="3" t="str">
        <f>HYPERLINK("..\..\Imagery\ScannedPhotos\1980\CG80-341.jpg")</f>
        <v>..\..\Imagery\ScannedPhotos\1980\CG80-341.jpg</v>
      </c>
    </row>
    <row r="2601" spans="1:13" x14ac:dyDescent="0.25">
      <c r="A2601" t="s">
        <v>6480</v>
      </c>
      <c r="B2601">
        <v>469789</v>
      </c>
      <c r="C2601">
        <v>6004398</v>
      </c>
      <c r="D2601">
        <v>21</v>
      </c>
      <c r="E2601" t="s">
        <v>15</v>
      </c>
      <c r="F2601" t="s">
        <v>6481</v>
      </c>
      <c r="G2601">
        <v>6</v>
      </c>
      <c r="H2601" t="s">
        <v>1518</v>
      </c>
      <c r="I2601" t="s">
        <v>132</v>
      </c>
      <c r="J2601" t="s">
        <v>48</v>
      </c>
      <c r="K2601" t="s">
        <v>20</v>
      </c>
      <c r="L2601" t="s">
        <v>6482</v>
      </c>
      <c r="M2601" s="3" t="str">
        <f>HYPERLINK("..\..\Imagery\ScannedPhotos\1980\CG80-345.6.jpg")</f>
        <v>..\..\Imagery\ScannedPhotos\1980\CG80-345.6.jpg</v>
      </c>
    </row>
    <row r="2602" spans="1:13" x14ac:dyDescent="0.25">
      <c r="A2602" t="s">
        <v>6480</v>
      </c>
      <c r="B2602">
        <v>469789</v>
      </c>
      <c r="C2602">
        <v>6004398</v>
      </c>
      <c r="D2602">
        <v>21</v>
      </c>
      <c r="E2602" t="s">
        <v>15</v>
      </c>
      <c r="F2602" t="s">
        <v>6483</v>
      </c>
      <c r="G2602">
        <v>6</v>
      </c>
      <c r="H2602" t="s">
        <v>2246</v>
      </c>
      <c r="I2602" t="s">
        <v>137</v>
      </c>
      <c r="J2602" t="s">
        <v>2247</v>
      </c>
      <c r="K2602" t="s">
        <v>20</v>
      </c>
      <c r="L2602" t="s">
        <v>6482</v>
      </c>
      <c r="M2602" s="3" t="str">
        <f>HYPERLINK("..\..\Imagery\ScannedPhotos\1980\CG80-345.4.jpg")</f>
        <v>..\..\Imagery\ScannedPhotos\1980\CG80-345.4.jpg</v>
      </c>
    </row>
    <row r="2603" spans="1:13" x14ac:dyDescent="0.25">
      <c r="A2603" t="s">
        <v>6480</v>
      </c>
      <c r="B2603">
        <v>469789</v>
      </c>
      <c r="C2603">
        <v>6004398</v>
      </c>
      <c r="D2603">
        <v>21</v>
      </c>
      <c r="E2603" t="s">
        <v>15</v>
      </c>
      <c r="F2603" t="s">
        <v>6484</v>
      </c>
      <c r="G2603">
        <v>6</v>
      </c>
      <c r="H2603" t="s">
        <v>2246</v>
      </c>
      <c r="I2603" t="s">
        <v>79</v>
      </c>
      <c r="J2603" t="s">
        <v>2247</v>
      </c>
      <c r="K2603" t="s">
        <v>20</v>
      </c>
      <c r="L2603" t="s">
        <v>6482</v>
      </c>
      <c r="M2603" s="3" t="str">
        <f>HYPERLINK("..\..\Imagery\ScannedPhotos\1980\CG80-345.2.jpg")</f>
        <v>..\..\Imagery\ScannedPhotos\1980\CG80-345.2.jpg</v>
      </c>
    </row>
    <row r="2604" spans="1:13" x14ac:dyDescent="0.25">
      <c r="A2604" t="s">
        <v>6480</v>
      </c>
      <c r="B2604">
        <v>469789</v>
      </c>
      <c r="C2604">
        <v>6004398</v>
      </c>
      <c r="D2604">
        <v>21</v>
      </c>
      <c r="E2604" t="s">
        <v>15</v>
      </c>
      <c r="F2604" t="s">
        <v>6485</v>
      </c>
      <c r="G2604">
        <v>6</v>
      </c>
      <c r="H2604" t="s">
        <v>1518</v>
      </c>
      <c r="I2604" t="s">
        <v>108</v>
      </c>
      <c r="J2604" t="s">
        <v>48</v>
      </c>
      <c r="K2604" t="s">
        <v>20</v>
      </c>
      <c r="L2604" t="s">
        <v>6482</v>
      </c>
      <c r="M2604" s="3" t="str">
        <f>HYPERLINK("..\..\Imagery\ScannedPhotos\1980\CG80-345.5.jpg")</f>
        <v>..\..\Imagery\ScannedPhotos\1980\CG80-345.5.jpg</v>
      </c>
    </row>
    <row r="2605" spans="1:13" x14ac:dyDescent="0.25">
      <c r="A2605" t="s">
        <v>3206</v>
      </c>
      <c r="B2605">
        <v>388687</v>
      </c>
      <c r="C2605">
        <v>5999998</v>
      </c>
      <c r="D2605">
        <v>21</v>
      </c>
      <c r="E2605" t="s">
        <v>15</v>
      </c>
      <c r="F2605" t="s">
        <v>6486</v>
      </c>
      <c r="G2605">
        <v>6</v>
      </c>
      <c r="H2605" t="s">
        <v>651</v>
      </c>
      <c r="I2605" t="s">
        <v>222</v>
      </c>
      <c r="J2605" t="s">
        <v>652</v>
      </c>
      <c r="K2605" t="s">
        <v>20</v>
      </c>
      <c r="L2605" t="s">
        <v>6487</v>
      </c>
      <c r="M2605" s="3" t="str">
        <f>HYPERLINK("..\..\Imagery\ScannedPhotos\1980\NN80-058.1.jpg")</f>
        <v>..\..\Imagery\ScannedPhotos\1980\NN80-058.1.jpg</v>
      </c>
    </row>
    <row r="2606" spans="1:13" x14ac:dyDescent="0.25">
      <c r="A2606" t="s">
        <v>6488</v>
      </c>
      <c r="B2606">
        <v>585145</v>
      </c>
      <c r="C2606">
        <v>5791116</v>
      </c>
      <c r="D2606">
        <v>21</v>
      </c>
      <c r="E2606" t="s">
        <v>15</v>
      </c>
      <c r="F2606" t="s">
        <v>6489</v>
      </c>
      <c r="G2606">
        <v>11</v>
      </c>
      <c r="H2606" t="s">
        <v>2984</v>
      </c>
      <c r="I2606" t="s">
        <v>122</v>
      </c>
      <c r="J2606" t="s">
        <v>19</v>
      </c>
      <c r="K2606" t="s">
        <v>20</v>
      </c>
      <c r="L2606" t="s">
        <v>6490</v>
      </c>
      <c r="M2606" s="3" t="str">
        <f>HYPERLINK("..\..\Imagery\ScannedPhotos\1987\CG87-469.4.jpg")</f>
        <v>..\..\Imagery\ScannedPhotos\1987\CG87-469.4.jpg</v>
      </c>
    </row>
    <row r="2607" spans="1:13" x14ac:dyDescent="0.25">
      <c r="A2607" t="s">
        <v>6488</v>
      </c>
      <c r="B2607">
        <v>585145</v>
      </c>
      <c r="C2607">
        <v>5791116</v>
      </c>
      <c r="D2607">
        <v>21</v>
      </c>
      <c r="E2607" t="s">
        <v>15</v>
      </c>
      <c r="F2607" t="s">
        <v>6491</v>
      </c>
      <c r="G2607">
        <v>11</v>
      </c>
      <c r="H2607" t="s">
        <v>2984</v>
      </c>
      <c r="I2607" t="s">
        <v>119</v>
      </c>
      <c r="J2607" t="s">
        <v>19</v>
      </c>
      <c r="K2607" t="s">
        <v>20</v>
      </c>
      <c r="L2607" t="s">
        <v>6492</v>
      </c>
      <c r="M2607" s="3" t="str">
        <f>HYPERLINK("..\..\Imagery\ScannedPhotos\1987\CG87-469.3.jpg")</f>
        <v>..\..\Imagery\ScannedPhotos\1987\CG87-469.3.jpg</v>
      </c>
    </row>
    <row r="2608" spans="1:13" x14ac:dyDescent="0.25">
      <c r="A2608" t="s">
        <v>6493</v>
      </c>
      <c r="B2608">
        <v>439811</v>
      </c>
      <c r="C2608">
        <v>6085467</v>
      </c>
      <c r="D2608">
        <v>21</v>
      </c>
      <c r="E2608" t="s">
        <v>15</v>
      </c>
      <c r="F2608" t="s">
        <v>6494</v>
      </c>
      <c r="G2608">
        <v>2</v>
      </c>
      <c r="H2608" t="s">
        <v>696</v>
      </c>
      <c r="I2608" t="s">
        <v>69</v>
      </c>
      <c r="J2608" t="s">
        <v>355</v>
      </c>
      <c r="K2608" t="s">
        <v>20</v>
      </c>
      <c r="L2608" t="s">
        <v>6495</v>
      </c>
      <c r="M2608" s="3" t="str">
        <f>HYPERLINK("..\..\Imagery\ScannedPhotos\1979\CG79-225.2.jpg")</f>
        <v>..\..\Imagery\ScannedPhotos\1979\CG79-225.2.jpg</v>
      </c>
    </row>
    <row r="2609" spans="1:13" x14ac:dyDescent="0.25">
      <c r="A2609" t="s">
        <v>6496</v>
      </c>
      <c r="B2609">
        <v>440037</v>
      </c>
      <c r="C2609">
        <v>6086760</v>
      </c>
      <c r="D2609">
        <v>21</v>
      </c>
      <c r="E2609" t="s">
        <v>15</v>
      </c>
      <c r="F2609" t="s">
        <v>6497</v>
      </c>
      <c r="G2609">
        <v>2</v>
      </c>
      <c r="H2609" t="s">
        <v>696</v>
      </c>
      <c r="I2609" t="s">
        <v>85</v>
      </c>
      <c r="J2609" t="s">
        <v>355</v>
      </c>
      <c r="K2609" t="s">
        <v>20</v>
      </c>
      <c r="L2609" t="s">
        <v>6495</v>
      </c>
      <c r="M2609" s="3" t="str">
        <f>HYPERLINK("..\..\Imagery\ScannedPhotos\1979\CG79-226.1.jpg")</f>
        <v>..\..\Imagery\ScannedPhotos\1979\CG79-226.1.jpg</v>
      </c>
    </row>
    <row r="2610" spans="1:13" x14ac:dyDescent="0.25">
      <c r="A2610" t="s">
        <v>6496</v>
      </c>
      <c r="B2610">
        <v>440037</v>
      </c>
      <c r="C2610">
        <v>6086760</v>
      </c>
      <c r="D2610">
        <v>21</v>
      </c>
      <c r="E2610" t="s">
        <v>15</v>
      </c>
      <c r="F2610" t="s">
        <v>6498</v>
      </c>
      <c r="G2610">
        <v>2</v>
      </c>
      <c r="H2610" t="s">
        <v>696</v>
      </c>
      <c r="I2610" t="s">
        <v>375</v>
      </c>
      <c r="J2610" t="s">
        <v>355</v>
      </c>
      <c r="K2610" t="s">
        <v>20</v>
      </c>
      <c r="L2610" t="s">
        <v>6495</v>
      </c>
      <c r="M2610" s="3" t="str">
        <f>HYPERLINK("..\..\Imagery\ScannedPhotos\1979\CG79-226.2.jpg")</f>
        <v>..\..\Imagery\ScannedPhotos\1979\CG79-226.2.jpg</v>
      </c>
    </row>
    <row r="2611" spans="1:13" x14ac:dyDescent="0.25">
      <c r="A2611" t="s">
        <v>6499</v>
      </c>
      <c r="B2611">
        <v>398643</v>
      </c>
      <c r="C2611">
        <v>5923202</v>
      </c>
      <c r="D2611">
        <v>21</v>
      </c>
      <c r="E2611" t="s">
        <v>15</v>
      </c>
      <c r="F2611" t="s">
        <v>6500</v>
      </c>
      <c r="G2611">
        <v>2</v>
      </c>
      <c r="H2611" t="s">
        <v>562</v>
      </c>
      <c r="I2611" t="s">
        <v>41</v>
      </c>
      <c r="J2611" t="s">
        <v>563</v>
      </c>
      <c r="K2611" t="s">
        <v>20</v>
      </c>
      <c r="L2611" t="s">
        <v>6501</v>
      </c>
      <c r="M2611" s="3" t="str">
        <f>HYPERLINK("..\..\Imagery\ScannedPhotos\1995\VN95-094.1.jpg")</f>
        <v>..\..\Imagery\ScannedPhotos\1995\VN95-094.1.jpg</v>
      </c>
    </row>
    <row r="2612" spans="1:13" x14ac:dyDescent="0.25">
      <c r="A2612" t="s">
        <v>6499</v>
      </c>
      <c r="B2612">
        <v>398643</v>
      </c>
      <c r="C2612">
        <v>5923202</v>
      </c>
      <c r="D2612">
        <v>21</v>
      </c>
      <c r="E2612" t="s">
        <v>15</v>
      </c>
      <c r="F2612" t="s">
        <v>6502</v>
      </c>
      <c r="G2612">
        <v>2</v>
      </c>
      <c r="H2612" t="s">
        <v>562</v>
      </c>
      <c r="I2612" t="s">
        <v>85</v>
      </c>
      <c r="J2612" t="s">
        <v>563</v>
      </c>
      <c r="K2612" t="s">
        <v>20</v>
      </c>
      <c r="L2612" t="s">
        <v>6501</v>
      </c>
      <c r="M2612" s="3" t="str">
        <f>HYPERLINK("..\..\Imagery\ScannedPhotos\1995\VN95-094.2.jpg")</f>
        <v>..\..\Imagery\ScannedPhotos\1995\VN95-094.2.jpg</v>
      </c>
    </row>
    <row r="2613" spans="1:13" x14ac:dyDescent="0.25">
      <c r="A2613" t="s">
        <v>6503</v>
      </c>
      <c r="B2613">
        <v>399872</v>
      </c>
      <c r="C2613">
        <v>5923346</v>
      </c>
      <c r="D2613">
        <v>21</v>
      </c>
      <c r="E2613" t="s">
        <v>15</v>
      </c>
      <c r="F2613" t="s">
        <v>6504</v>
      </c>
      <c r="G2613">
        <v>2</v>
      </c>
      <c r="H2613" t="s">
        <v>562</v>
      </c>
      <c r="I2613" t="s">
        <v>375</v>
      </c>
      <c r="J2613" t="s">
        <v>563</v>
      </c>
      <c r="K2613" t="s">
        <v>20</v>
      </c>
      <c r="L2613" t="s">
        <v>6505</v>
      </c>
      <c r="M2613" s="3" t="str">
        <f>HYPERLINK("..\..\Imagery\ScannedPhotos\1995\VN95-097.1.jpg")</f>
        <v>..\..\Imagery\ScannedPhotos\1995\VN95-097.1.jpg</v>
      </c>
    </row>
    <row r="2614" spans="1:13" x14ac:dyDescent="0.25">
      <c r="A2614" t="s">
        <v>6503</v>
      </c>
      <c r="B2614">
        <v>399872</v>
      </c>
      <c r="C2614">
        <v>5923346</v>
      </c>
      <c r="D2614">
        <v>21</v>
      </c>
      <c r="E2614" t="s">
        <v>15</v>
      </c>
      <c r="F2614" t="s">
        <v>6506</v>
      </c>
      <c r="G2614">
        <v>2</v>
      </c>
      <c r="H2614" t="s">
        <v>562</v>
      </c>
      <c r="I2614" t="s">
        <v>94</v>
      </c>
      <c r="J2614" t="s">
        <v>563</v>
      </c>
      <c r="K2614" t="s">
        <v>20</v>
      </c>
      <c r="L2614" t="s">
        <v>6505</v>
      </c>
      <c r="M2614" s="3" t="str">
        <f>HYPERLINK("..\..\Imagery\ScannedPhotos\1995\VN95-097.2.jpg")</f>
        <v>..\..\Imagery\ScannedPhotos\1995\VN95-097.2.jpg</v>
      </c>
    </row>
    <row r="2615" spans="1:13" x14ac:dyDescent="0.25">
      <c r="A2615" t="s">
        <v>4855</v>
      </c>
      <c r="B2615">
        <v>596406</v>
      </c>
      <c r="C2615">
        <v>5792822</v>
      </c>
      <c r="D2615">
        <v>21</v>
      </c>
      <c r="E2615" t="s">
        <v>15</v>
      </c>
      <c r="F2615" t="s">
        <v>6507</v>
      </c>
      <c r="G2615">
        <v>2</v>
      </c>
      <c r="K2615" t="s">
        <v>20</v>
      </c>
      <c r="L2615" t="s">
        <v>6508</v>
      </c>
      <c r="M2615" s="3" t="str">
        <f>HYPERLINK("..\..\Imagery\ScannedPhotos\2007\CG07-145.1.jpg")</f>
        <v>..\..\Imagery\ScannedPhotos\2007\CG07-145.1.jpg</v>
      </c>
    </row>
    <row r="2616" spans="1:13" x14ac:dyDescent="0.25">
      <c r="A2616" t="s">
        <v>1438</v>
      </c>
      <c r="B2616">
        <v>493485</v>
      </c>
      <c r="C2616">
        <v>5823779</v>
      </c>
      <c r="D2616">
        <v>21</v>
      </c>
      <c r="E2616" t="s">
        <v>15</v>
      </c>
      <c r="F2616" t="s">
        <v>6509</v>
      </c>
      <c r="G2616">
        <v>3</v>
      </c>
      <c r="H2616" t="s">
        <v>792</v>
      </c>
      <c r="I2616" t="s">
        <v>132</v>
      </c>
      <c r="J2616" t="s">
        <v>793</v>
      </c>
      <c r="K2616" t="s">
        <v>20</v>
      </c>
      <c r="L2616" t="s">
        <v>322</v>
      </c>
      <c r="M2616" s="3" t="str">
        <f>HYPERLINK("..\..\Imagery\ScannedPhotos\1991\VN91-358.1.jpg")</f>
        <v>..\..\Imagery\ScannedPhotos\1991\VN91-358.1.jpg</v>
      </c>
    </row>
    <row r="2617" spans="1:13" x14ac:dyDescent="0.25">
      <c r="A2617" t="s">
        <v>6510</v>
      </c>
      <c r="B2617">
        <v>587669</v>
      </c>
      <c r="C2617">
        <v>5770262</v>
      </c>
      <c r="D2617">
        <v>21</v>
      </c>
      <c r="E2617" t="s">
        <v>15</v>
      </c>
      <c r="F2617" t="s">
        <v>6511</v>
      </c>
      <c r="G2617">
        <v>2</v>
      </c>
      <c r="H2617" t="s">
        <v>2916</v>
      </c>
      <c r="I2617" t="s">
        <v>52</v>
      </c>
      <c r="J2617" t="s">
        <v>797</v>
      </c>
      <c r="K2617" t="s">
        <v>20</v>
      </c>
      <c r="L2617" t="s">
        <v>6512</v>
      </c>
      <c r="M2617" s="3" t="str">
        <f>HYPERLINK("..\..\Imagery\ScannedPhotos\1987\VN87-335.2.jpg")</f>
        <v>..\..\Imagery\ScannedPhotos\1987\VN87-335.2.jpg</v>
      </c>
    </row>
    <row r="2618" spans="1:13" x14ac:dyDescent="0.25">
      <c r="A2618" t="s">
        <v>6510</v>
      </c>
      <c r="B2618">
        <v>587669</v>
      </c>
      <c r="C2618">
        <v>5770262</v>
      </c>
      <c r="D2618">
        <v>21</v>
      </c>
      <c r="E2618" t="s">
        <v>15</v>
      </c>
      <c r="F2618" t="s">
        <v>6513</v>
      </c>
      <c r="G2618">
        <v>2</v>
      </c>
      <c r="H2618" t="s">
        <v>2916</v>
      </c>
      <c r="I2618" t="s">
        <v>47</v>
      </c>
      <c r="J2618" t="s">
        <v>797</v>
      </c>
      <c r="K2618" t="s">
        <v>20</v>
      </c>
      <c r="L2618" t="s">
        <v>6512</v>
      </c>
      <c r="M2618" s="3" t="str">
        <f>HYPERLINK("..\..\Imagery\ScannedPhotos\1987\VN87-335.1.jpg")</f>
        <v>..\..\Imagery\ScannedPhotos\1987\VN87-335.1.jpg</v>
      </c>
    </row>
    <row r="2619" spans="1:13" x14ac:dyDescent="0.25">
      <c r="A2619" t="s">
        <v>6514</v>
      </c>
      <c r="B2619">
        <v>474966</v>
      </c>
      <c r="C2619">
        <v>5852469</v>
      </c>
      <c r="D2619">
        <v>21</v>
      </c>
      <c r="E2619" t="s">
        <v>15</v>
      </c>
      <c r="F2619" t="s">
        <v>6515</v>
      </c>
      <c r="G2619">
        <v>1</v>
      </c>
      <c r="H2619" t="s">
        <v>890</v>
      </c>
      <c r="I2619" t="s">
        <v>147</v>
      </c>
      <c r="J2619" t="s">
        <v>891</v>
      </c>
      <c r="K2619" t="s">
        <v>20</v>
      </c>
      <c r="L2619" t="s">
        <v>6516</v>
      </c>
      <c r="M2619" s="3" t="str">
        <f>HYPERLINK("..\..\Imagery\ScannedPhotos\1991\VN91-247.jpg")</f>
        <v>..\..\Imagery\ScannedPhotos\1991\VN91-247.jpg</v>
      </c>
    </row>
    <row r="2620" spans="1:13" x14ac:dyDescent="0.25">
      <c r="A2620" t="s">
        <v>441</v>
      </c>
      <c r="B2620">
        <v>483170</v>
      </c>
      <c r="C2620">
        <v>5948871</v>
      </c>
      <c r="D2620">
        <v>21</v>
      </c>
      <c r="E2620" t="s">
        <v>15</v>
      </c>
      <c r="F2620" t="s">
        <v>6517</v>
      </c>
      <c r="G2620">
        <v>6</v>
      </c>
      <c r="H2620" t="s">
        <v>443</v>
      </c>
      <c r="I2620" t="s">
        <v>418</v>
      </c>
      <c r="J2620" t="s">
        <v>6518</v>
      </c>
      <c r="K2620" t="s">
        <v>20</v>
      </c>
      <c r="L2620" t="s">
        <v>444</v>
      </c>
      <c r="M2620" s="3" t="str">
        <f>HYPERLINK("..\..\Imagery\ScannedPhotos\1981\CG81-081.2.jpg")</f>
        <v>..\..\Imagery\ScannedPhotos\1981\CG81-081.2.jpg</v>
      </c>
    </row>
    <row r="2621" spans="1:13" x14ac:dyDescent="0.25">
      <c r="A2621" t="s">
        <v>6519</v>
      </c>
      <c r="B2621">
        <v>574425</v>
      </c>
      <c r="C2621">
        <v>5852209</v>
      </c>
      <c r="D2621">
        <v>21</v>
      </c>
      <c r="E2621" t="s">
        <v>15</v>
      </c>
      <c r="F2621" t="s">
        <v>6520</v>
      </c>
      <c r="G2621">
        <v>2</v>
      </c>
      <c r="H2621" t="s">
        <v>2945</v>
      </c>
      <c r="I2621" t="s">
        <v>52</v>
      </c>
      <c r="J2621" t="s">
        <v>300</v>
      </c>
      <c r="K2621" t="s">
        <v>20</v>
      </c>
      <c r="L2621" t="s">
        <v>6521</v>
      </c>
      <c r="M2621" s="3" t="str">
        <f>HYPERLINK("..\..\Imagery\ScannedPhotos\1986\CG86-549.2.jpg")</f>
        <v>..\..\Imagery\ScannedPhotos\1986\CG86-549.2.jpg</v>
      </c>
    </row>
    <row r="2622" spans="1:13" x14ac:dyDescent="0.25">
      <c r="A2622" t="s">
        <v>6522</v>
      </c>
      <c r="B2622">
        <v>575471</v>
      </c>
      <c r="C2622">
        <v>5848940</v>
      </c>
      <c r="D2622">
        <v>21</v>
      </c>
      <c r="E2622" t="s">
        <v>15</v>
      </c>
      <c r="F2622" t="s">
        <v>6523</v>
      </c>
      <c r="G2622">
        <v>2</v>
      </c>
      <c r="H2622" t="s">
        <v>2084</v>
      </c>
      <c r="I2622" t="s">
        <v>65</v>
      </c>
      <c r="J2622" t="s">
        <v>1014</v>
      </c>
      <c r="K2622" t="s">
        <v>228</v>
      </c>
      <c r="L2622" t="s">
        <v>6524</v>
      </c>
      <c r="M2622" s="3" t="str">
        <f>HYPERLINK("..\..\Imagery\ScannedPhotos\1986\CG86-557.1.jpg")</f>
        <v>..\..\Imagery\ScannedPhotos\1986\CG86-557.1.jpg</v>
      </c>
    </row>
    <row r="2623" spans="1:13" x14ac:dyDescent="0.25">
      <c r="A2623" t="s">
        <v>1388</v>
      </c>
      <c r="B2623">
        <v>595341</v>
      </c>
      <c r="C2623">
        <v>5793672</v>
      </c>
      <c r="D2623">
        <v>21</v>
      </c>
      <c r="E2623" t="s">
        <v>15</v>
      </c>
      <c r="F2623" t="s">
        <v>6525</v>
      </c>
      <c r="G2623">
        <v>4</v>
      </c>
      <c r="H2623" t="s">
        <v>1390</v>
      </c>
      <c r="I2623" t="s">
        <v>69</v>
      </c>
      <c r="J2623" t="s">
        <v>1391</v>
      </c>
      <c r="K2623" t="s">
        <v>20</v>
      </c>
      <c r="L2623" t="s">
        <v>6526</v>
      </c>
      <c r="M2623" s="3" t="str">
        <f>HYPERLINK("..\..\Imagery\ScannedPhotos\1987\CG87-580.3.jpg")</f>
        <v>..\..\Imagery\ScannedPhotos\1987\CG87-580.3.jpg</v>
      </c>
    </row>
    <row r="2624" spans="1:13" x14ac:dyDescent="0.25">
      <c r="A2624" t="s">
        <v>3131</v>
      </c>
      <c r="B2624">
        <v>406812</v>
      </c>
      <c r="C2624">
        <v>6004126</v>
      </c>
      <c r="D2624">
        <v>21</v>
      </c>
      <c r="E2624" t="s">
        <v>15</v>
      </c>
      <c r="F2624" t="s">
        <v>6527</v>
      </c>
      <c r="G2624">
        <v>27</v>
      </c>
      <c r="H2624" t="s">
        <v>6528</v>
      </c>
      <c r="I2624" t="s">
        <v>85</v>
      </c>
      <c r="J2624" t="s">
        <v>6529</v>
      </c>
      <c r="K2624" t="s">
        <v>535</v>
      </c>
      <c r="L2624" t="s">
        <v>6530</v>
      </c>
      <c r="M2624" s="3" t="str">
        <f>HYPERLINK("..\..\Imagery\ScannedPhotos\1980\CG80-102.21.jpg")</f>
        <v>..\..\Imagery\ScannedPhotos\1980\CG80-102.21.jpg</v>
      </c>
    </row>
    <row r="2625" spans="1:13" x14ac:dyDescent="0.25">
      <c r="A2625" t="s">
        <v>6531</v>
      </c>
      <c r="B2625">
        <v>566671</v>
      </c>
      <c r="C2625">
        <v>5789578</v>
      </c>
      <c r="D2625">
        <v>21</v>
      </c>
      <c r="E2625" t="s">
        <v>15</v>
      </c>
      <c r="F2625" t="s">
        <v>6532</v>
      </c>
      <c r="G2625">
        <v>2</v>
      </c>
      <c r="H2625" t="s">
        <v>5918</v>
      </c>
      <c r="I2625" t="s">
        <v>47</v>
      </c>
      <c r="J2625" t="s">
        <v>1619</v>
      </c>
      <c r="K2625" t="s">
        <v>20</v>
      </c>
      <c r="L2625" t="s">
        <v>6533</v>
      </c>
      <c r="M2625" s="3" t="str">
        <f>HYPERLINK("..\..\Imagery\ScannedPhotos\1987\VN87-212.1.jpg")</f>
        <v>..\..\Imagery\ScannedPhotos\1987\VN87-212.1.jpg</v>
      </c>
    </row>
    <row r="2626" spans="1:13" x14ac:dyDescent="0.25">
      <c r="A2626" t="s">
        <v>6534</v>
      </c>
      <c r="B2626">
        <v>566369</v>
      </c>
      <c r="C2626">
        <v>5788827</v>
      </c>
      <c r="D2626">
        <v>21</v>
      </c>
      <c r="E2626" t="s">
        <v>15</v>
      </c>
      <c r="F2626" t="s">
        <v>6535</v>
      </c>
      <c r="G2626">
        <v>1</v>
      </c>
      <c r="H2626" t="s">
        <v>2916</v>
      </c>
      <c r="I2626" t="s">
        <v>294</v>
      </c>
      <c r="J2626" t="s">
        <v>797</v>
      </c>
      <c r="K2626" t="s">
        <v>20</v>
      </c>
      <c r="L2626" t="s">
        <v>6536</v>
      </c>
      <c r="M2626" s="3" t="str">
        <f>HYPERLINK("..\..\Imagery\ScannedPhotos\1987\VN87-214.jpg")</f>
        <v>..\..\Imagery\ScannedPhotos\1987\VN87-214.jpg</v>
      </c>
    </row>
    <row r="2627" spans="1:13" x14ac:dyDescent="0.25">
      <c r="A2627" t="s">
        <v>6537</v>
      </c>
      <c r="B2627">
        <v>584420</v>
      </c>
      <c r="C2627">
        <v>5903615</v>
      </c>
      <c r="D2627">
        <v>21</v>
      </c>
      <c r="E2627" t="s">
        <v>15</v>
      </c>
      <c r="F2627" t="s">
        <v>6538</v>
      </c>
      <c r="G2627">
        <v>1</v>
      </c>
      <c r="H2627" t="s">
        <v>2687</v>
      </c>
      <c r="I2627" t="s">
        <v>114</v>
      </c>
      <c r="J2627" t="s">
        <v>1463</v>
      </c>
      <c r="K2627" t="s">
        <v>20</v>
      </c>
      <c r="L2627" t="s">
        <v>6539</v>
      </c>
      <c r="M2627" s="3" t="str">
        <f>HYPERLINK("..\..\Imagery\ScannedPhotos\1985\VN85-652.jpg")</f>
        <v>..\..\Imagery\ScannedPhotos\1985\VN85-652.jpg</v>
      </c>
    </row>
    <row r="2628" spans="1:13" x14ac:dyDescent="0.25">
      <c r="A2628" t="s">
        <v>6540</v>
      </c>
      <c r="B2628">
        <v>531604</v>
      </c>
      <c r="C2628">
        <v>5810113</v>
      </c>
      <c r="D2628">
        <v>21</v>
      </c>
      <c r="E2628" t="s">
        <v>15</v>
      </c>
      <c r="F2628" t="s">
        <v>6541</v>
      </c>
      <c r="G2628">
        <v>1</v>
      </c>
      <c r="H2628" t="s">
        <v>308</v>
      </c>
      <c r="I2628" t="s">
        <v>94</v>
      </c>
      <c r="J2628" t="s">
        <v>309</v>
      </c>
      <c r="K2628" t="s">
        <v>20</v>
      </c>
      <c r="L2628" t="s">
        <v>6542</v>
      </c>
      <c r="M2628" s="3" t="str">
        <f>HYPERLINK("..\..\Imagery\ScannedPhotos\1987\VN87-013.jpg")</f>
        <v>..\..\Imagery\ScannedPhotos\1987\VN87-013.jpg</v>
      </c>
    </row>
    <row r="2629" spans="1:13" x14ac:dyDescent="0.25">
      <c r="A2629" t="s">
        <v>6543</v>
      </c>
      <c r="B2629">
        <v>531517</v>
      </c>
      <c r="C2629">
        <v>5809876</v>
      </c>
      <c r="D2629">
        <v>21</v>
      </c>
      <c r="E2629" t="s">
        <v>15</v>
      </c>
      <c r="F2629" t="s">
        <v>6544</v>
      </c>
      <c r="G2629">
        <v>1</v>
      </c>
      <c r="H2629" t="s">
        <v>308</v>
      </c>
      <c r="I2629" t="s">
        <v>209</v>
      </c>
      <c r="J2629" t="s">
        <v>309</v>
      </c>
      <c r="K2629" t="s">
        <v>20</v>
      </c>
      <c r="L2629" t="s">
        <v>1853</v>
      </c>
      <c r="M2629" s="3" t="str">
        <f>HYPERLINK("..\..\Imagery\ScannedPhotos\1987\VN87-014.jpg")</f>
        <v>..\..\Imagery\ScannedPhotos\1987\VN87-014.jpg</v>
      </c>
    </row>
    <row r="2630" spans="1:13" x14ac:dyDescent="0.25">
      <c r="A2630" t="s">
        <v>830</v>
      </c>
      <c r="B2630">
        <v>566018</v>
      </c>
      <c r="C2630">
        <v>5932990</v>
      </c>
      <c r="D2630">
        <v>21</v>
      </c>
      <c r="E2630" t="s">
        <v>15</v>
      </c>
      <c r="F2630" t="s">
        <v>6545</v>
      </c>
      <c r="G2630">
        <v>2</v>
      </c>
      <c r="H2630" t="s">
        <v>824</v>
      </c>
      <c r="I2630" t="s">
        <v>209</v>
      </c>
      <c r="J2630" t="s">
        <v>48</v>
      </c>
      <c r="K2630" t="s">
        <v>20</v>
      </c>
      <c r="L2630" t="s">
        <v>832</v>
      </c>
      <c r="M2630" s="3" t="str">
        <f>HYPERLINK("..\..\Imagery\ScannedPhotos\1981\VO81-637.1.jpg")</f>
        <v>..\..\Imagery\ScannedPhotos\1981\VO81-637.1.jpg</v>
      </c>
    </row>
    <row r="2631" spans="1:13" x14ac:dyDescent="0.25">
      <c r="A2631" t="s">
        <v>6546</v>
      </c>
      <c r="B2631">
        <v>565485</v>
      </c>
      <c r="C2631">
        <v>5932753</v>
      </c>
      <c r="D2631">
        <v>21</v>
      </c>
      <c r="E2631" t="s">
        <v>15</v>
      </c>
      <c r="F2631" t="s">
        <v>6547</v>
      </c>
      <c r="G2631">
        <v>1</v>
      </c>
      <c r="H2631" t="s">
        <v>824</v>
      </c>
      <c r="I2631" t="s">
        <v>217</v>
      </c>
      <c r="J2631" t="s">
        <v>48</v>
      </c>
      <c r="K2631" t="s">
        <v>20</v>
      </c>
      <c r="L2631" t="s">
        <v>6548</v>
      </c>
      <c r="M2631" s="3" t="str">
        <f>HYPERLINK("..\..\Imagery\ScannedPhotos\1981\VO81-639.jpg")</f>
        <v>..\..\Imagery\ScannedPhotos\1981\VO81-639.jpg</v>
      </c>
    </row>
    <row r="2632" spans="1:13" x14ac:dyDescent="0.25">
      <c r="A2632" t="s">
        <v>6549</v>
      </c>
      <c r="B2632">
        <v>543793</v>
      </c>
      <c r="C2632">
        <v>5942846</v>
      </c>
      <c r="D2632">
        <v>21</v>
      </c>
      <c r="E2632" t="s">
        <v>15</v>
      </c>
      <c r="F2632" t="s">
        <v>6550</v>
      </c>
      <c r="G2632">
        <v>1</v>
      </c>
      <c r="H2632" t="s">
        <v>824</v>
      </c>
      <c r="I2632" t="s">
        <v>418</v>
      </c>
      <c r="J2632" t="s">
        <v>48</v>
      </c>
      <c r="K2632" t="s">
        <v>20</v>
      </c>
      <c r="L2632" t="s">
        <v>6551</v>
      </c>
      <c r="M2632" s="3" t="str">
        <f>HYPERLINK("..\..\Imagery\ScannedPhotos\1981\VO81-657.jpg")</f>
        <v>..\..\Imagery\ScannedPhotos\1981\VO81-657.jpg</v>
      </c>
    </row>
    <row r="2633" spans="1:13" x14ac:dyDescent="0.25">
      <c r="A2633" t="s">
        <v>2454</v>
      </c>
      <c r="B2633">
        <v>444257</v>
      </c>
      <c r="C2633">
        <v>5906553</v>
      </c>
      <c r="D2633">
        <v>21</v>
      </c>
      <c r="E2633" t="s">
        <v>15</v>
      </c>
      <c r="F2633" t="s">
        <v>6552</v>
      </c>
      <c r="G2633">
        <v>3</v>
      </c>
      <c r="H2633" t="s">
        <v>2065</v>
      </c>
      <c r="I2633" t="s">
        <v>409</v>
      </c>
      <c r="J2633" t="s">
        <v>156</v>
      </c>
      <c r="K2633" t="s">
        <v>20</v>
      </c>
      <c r="L2633" t="s">
        <v>2456</v>
      </c>
      <c r="M2633" s="3" t="str">
        <f>HYPERLINK("..\..\Imagery\ScannedPhotos\1984\NN84-091.1.jpg")</f>
        <v>..\..\Imagery\ScannedPhotos\1984\NN84-091.1.jpg</v>
      </c>
    </row>
    <row r="2634" spans="1:13" x14ac:dyDescent="0.25">
      <c r="A2634" t="s">
        <v>2454</v>
      </c>
      <c r="B2634">
        <v>444257</v>
      </c>
      <c r="C2634">
        <v>5906553</v>
      </c>
      <c r="D2634">
        <v>21</v>
      </c>
      <c r="E2634" t="s">
        <v>15</v>
      </c>
      <c r="F2634" t="s">
        <v>6553</v>
      </c>
      <c r="G2634">
        <v>3</v>
      </c>
      <c r="H2634" t="s">
        <v>155</v>
      </c>
      <c r="I2634" t="s">
        <v>281</v>
      </c>
      <c r="J2634" t="s">
        <v>156</v>
      </c>
      <c r="K2634" t="s">
        <v>20</v>
      </c>
      <c r="L2634" t="s">
        <v>2456</v>
      </c>
      <c r="M2634" s="3" t="str">
        <f>HYPERLINK("..\..\Imagery\ScannedPhotos\1984\NN84-091.3.jpg")</f>
        <v>..\..\Imagery\ScannedPhotos\1984\NN84-091.3.jpg</v>
      </c>
    </row>
    <row r="2635" spans="1:13" x14ac:dyDescent="0.25">
      <c r="A2635" t="s">
        <v>6554</v>
      </c>
      <c r="B2635">
        <v>564776</v>
      </c>
      <c r="C2635">
        <v>5874407</v>
      </c>
      <c r="D2635">
        <v>21</v>
      </c>
      <c r="E2635" t="s">
        <v>15</v>
      </c>
      <c r="F2635" t="s">
        <v>6555</v>
      </c>
      <c r="G2635">
        <v>3</v>
      </c>
      <c r="H2635" t="s">
        <v>1796</v>
      </c>
      <c r="I2635" t="s">
        <v>94</v>
      </c>
      <c r="J2635" t="s">
        <v>1797</v>
      </c>
      <c r="K2635" t="s">
        <v>20</v>
      </c>
      <c r="L2635" t="s">
        <v>6556</v>
      </c>
      <c r="M2635" s="3" t="str">
        <f>HYPERLINK("..\..\Imagery\ScannedPhotos\1985\VN85-410.3.jpg")</f>
        <v>..\..\Imagery\ScannedPhotos\1985\VN85-410.3.jpg</v>
      </c>
    </row>
    <row r="2636" spans="1:13" x14ac:dyDescent="0.25">
      <c r="A2636" t="s">
        <v>1794</v>
      </c>
      <c r="B2636">
        <v>580402</v>
      </c>
      <c r="C2636">
        <v>5930858</v>
      </c>
      <c r="D2636">
        <v>21</v>
      </c>
      <c r="E2636" t="s">
        <v>15</v>
      </c>
      <c r="F2636" t="s">
        <v>6557</v>
      </c>
      <c r="G2636">
        <v>5</v>
      </c>
      <c r="H2636" t="s">
        <v>1796</v>
      </c>
      <c r="I2636" t="s">
        <v>195</v>
      </c>
      <c r="J2636" t="s">
        <v>1797</v>
      </c>
      <c r="K2636" t="s">
        <v>20</v>
      </c>
      <c r="L2636" t="s">
        <v>5968</v>
      </c>
      <c r="M2636" s="3" t="str">
        <f>HYPERLINK("..\..\Imagery\ScannedPhotos\1985\VN85-416.2.jpg")</f>
        <v>..\..\Imagery\ScannedPhotos\1985\VN85-416.2.jpg</v>
      </c>
    </row>
    <row r="2637" spans="1:13" x14ac:dyDescent="0.25">
      <c r="A2637" t="s">
        <v>5569</v>
      </c>
      <c r="B2637">
        <v>438839</v>
      </c>
      <c r="C2637">
        <v>5853799</v>
      </c>
      <c r="D2637">
        <v>21</v>
      </c>
      <c r="E2637" t="s">
        <v>15</v>
      </c>
      <c r="F2637" t="s">
        <v>6558</v>
      </c>
      <c r="G2637">
        <v>3</v>
      </c>
      <c r="H2637" t="s">
        <v>2521</v>
      </c>
      <c r="I2637" t="s">
        <v>360</v>
      </c>
      <c r="J2637" t="s">
        <v>2522</v>
      </c>
      <c r="K2637" t="s">
        <v>20</v>
      </c>
      <c r="L2637" t="s">
        <v>5571</v>
      </c>
      <c r="M2637" s="3" t="str">
        <f>HYPERLINK("..\..\Imagery\ScannedPhotos\1991\VN91-411.3.jpg")</f>
        <v>..\..\Imagery\ScannedPhotos\1991\VN91-411.3.jpg</v>
      </c>
    </row>
    <row r="2638" spans="1:13" x14ac:dyDescent="0.25">
      <c r="A2638" t="s">
        <v>907</v>
      </c>
      <c r="B2638">
        <v>534880</v>
      </c>
      <c r="C2638">
        <v>5726220</v>
      </c>
      <c r="D2638">
        <v>21</v>
      </c>
      <c r="E2638" t="s">
        <v>15</v>
      </c>
      <c r="F2638" t="s">
        <v>6559</v>
      </c>
      <c r="G2638">
        <v>4</v>
      </c>
      <c r="H2638" t="s">
        <v>885</v>
      </c>
      <c r="I2638" t="s">
        <v>360</v>
      </c>
      <c r="J2638" t="s">
        <v>886</v>
      </c>
      <c r="K2638" t="s">
        <v>20</v>
      </c>
      <c r="L2638" t="s">
        <v>6560</v>
      </c>
      <c r="M2638" s="3" t="str">
        <f>HYPERLINK("..\..\Imagery\ScannedPhotos\1993\CG93-119.4.jpg")</f>
        <v>..\..\Imagery\ScannedPhotos\1993\CG93-119.4.jpg</v>
      </c>
    </row>
    <row r="2639" spans="1:13" x14ac:dyDescent="0.25">
      <c r="A2639" t="s">
        <v>6561</v>
      </c>
      <c r="B2639">
        <v>534809</v>
      </c>
      <c r="C2639">
        <v>5725967</v>
      </c>
      <c r="D2639">
        <v>21</v>
      </c>
      <c r="E2639" t="s">
        <v>15</v>
      </c>
      <c r="F2639" t="s">
        <v>6562</v>
      </c>
      <c r="G2639">
        <v>2</v>
      </c>
      <c r="H2639" t="s">
        <v>885</v>
      </c>
      <c r="I2639" t="s">
        <v>647</v>
      </c>
      <c r="J2639" t="s">
        <v>886</v>
      </c>
      <c r="K2639" t="s">
        <v>20</v>
      </c>
      <c r="L2639" t="s">
        <v>6563</v>
      </c>
      <c r="M2639" s="3" t="str">
        <f>HYPERLINK("..\..\Imagery\ScannedPhotos\1993\CG93-120.1.jpg")</f>
        <v>..\..\Imagery\ScannedPhotos\1993\CG93-120.1.jpg</v>
      </c>
    </row>
    <row r="2640" spans="1:13" x14ac:dyDescent="0.25">
      <c r="A2640" t="s">
        <v>6561</v>
      </c>
      <c r="B2640">
        <v>534809</v>
      </c>
      <c r="C2640">
        <v>5725967</v>
      </c>
      <c r="D2640">
        <v>21</v>
      </c>
      <c r="E2640" t="s">
        <v>15</v>
      </c>
      <c r="F2640" t="s">
        <v>6564</v>
      </c>
      <c r="G2640">
        <v>2</v>
      </c>
      <c r="H2640" t="s">
        <v>885</v>
      </c>
      <c r="I2640" t="s">
        <v>30</v>
      </c>
      <c r="J2640" t="s">
        <v>886</v>
      </c>
      <c r="K2640" t="s">
        <v>20</v>
      </c>
      <c r="L2640" t="s">
        <v>6565</v>
      </c>
      <c r="M2640" s="3" t="str">
        <f>HYPERLINK("..\..\Imagery\ScannedPhotos\1993\CG93-120.2.jpg")</f>
        <v>..\..\Imagery\ScannedPhotos\1993\CG93-120.2.jpg</v>
      </c>
    </row>
    <row r="2641" spans="1:13" x14ac:dyDescent="0.25">
      <c r="A2641" t="s">
        <v>3526</v>
      </c>
      <c r="B2641">
        <v>534500</v>
      </c>
      <c r="C2641">
        <v>5725820</v>
      </c>
      <c r="D2641">
        <v>21</v>
      </c>
      <c r="E2641" t="s">
        <v>15</v>
      </c>
      <c r="F2641" t="s">
        <v>6566</v>
      </c>
      <c r="G2641">
        <v>3</v>
      </c>
      <c r="H2641" t="s">
        <v>885</v>
      </c>
      <c r="I2641" t="s">
        <v>114</v>
      </c>
      <c r="J2641" t="s">
        <v>886</v>
      </c>
      <c r="K2641" t="s">
        <v>20</v>
      </c>
      <c r="L2641" t="s">
        <v>6567</v>
      </c>
      <c r="M2641" s="3" t="str">
        <f>HYPERLINK("..\..\Imagery\ScannedPhotos\1993\CG93-122.1.jpg")</f>
        <v>..\..\Imagery\ScannedPhotos\1993\CG93-122.1.jpg</v>
      </c>
    </row>
    <row r="2642" spans="1:13" x14ac:dyDescent="0.25">
      <c r="A2642" t="s">
        <v>6568</v>
      </c>
      <c r="B2642">
        <v>568823</v>
      </c>
      <c r="C2642">
        <v>5917325</v>
      </c>
      <c r="D2642">
        <v>21</v>
      </c>
      <c r="E2642" t="s">
        <v>15</v>
      </c>
      <c r="F2642" t="s">
        <v>6569</v>
      </c>
      <c r="G2642">
        <v>6</v>
      </c>
      <c r="H2642" t="s">
        <v>1577</v>
      </c>
      <c r="I2642" t="s">
        <v>108</v>
      </c>
      <c r="J2642" t="s">
        <v>1374</v>
      </c>
      <c r="K2642" t="s">
        <v>20</v>
      </c>
      <c r="L2642" t="s">
        <v>6570</v>
      </c>
      <c r="M2642" s="3" t="str">
        <f>HYPERLINK("..\..\Imagery\ScannedPhotos\1985\GM85-636.6.jpg")</f>
        <v>..\..\Imagery\ScannedPhotos\1985\GM85-636.6.jpg</v>
      </c>
    </row>
    <row r="2643" spans="1:13" x14ac:dyDescent="0.25">
      <c r="A2643" t="s">
        <v>6568</v>
      </c>
      <c r="B2643">
        <v>568823</v>
      </c>
      <c r="C2643">
        <v>5917325</v>
      </c>
      <c r="D2643">
        <v>21</v>
      </c>
      <c r="E2643" t="s">
        <v>15</v>
      </c>
      <c r="F2643" t="s">
        <v>6571</v>
      </c>
      <c r="G2643">
        <v>6</v>
      </c>
      <c r="H2643" t="s">
        <v>1577</v>
      </c>
      <c r="I2643" t="s">
        <v>122</v>
      </c>
      <c r="J2643" t="s">
        <v>1374</v>
      </c>
      <c r="K2643" t="s">
        <v>20</v>
      </c>
      <c r="L2643" t="s">
        <v>6572</v>
      </c>
      <c r="M2643" s="3" t="str">
        <f>HYPERLINK("..\..\Imagery\ScannedPhotos\1985\GM85-636.4.jpg")</f>
        <v>..\..\Imagery\ScannedPhotos\1985\GM85-636.4.jpg</v>
      </c>
    </row>
    <row r="2644" spans="1:13" x14ac:dyDescent="0.25">
      <c r="A2644" t="s">
        <v>6568</v>
      </c>
      <c r="B2644">
        <v>568823</v>
      </c>
      <c r="C2644">
        <v>5917325</v>
      </c>
      <c r="D2644">
        <v>21</v>
      </c>
      <c r="E2644" t="s">
        <v>15</v>
      </c>
      <c r="F2644" t="s">
        <v>6573</v>
      </c>
      <c r="G2644">
        <v>6</v>
      </c>
      <c r="H2644" t="s">
        <v>1577</v>
      </c>
      <c r="I2644" t="s">
        <v>126</v>
      </c>
      <c r="J2644" t="s">
        <v>1374</v>
      </c>
      <c r="K2644" t="s">
        <v>20</v>
      </c>
      <c r="L2644" t="s">
        <v>6574</v>
      </c>
      <c r="M2644" s="3" t="str">
        <f>HYPERLINK("..\..\Imagery\ScannedPhotos\1985\GM85-636.5.jpg")</f>
        <v>..\..\Imagery\ScannedPhotos\1985\GM85-636.5.jpg</v>
      </c>
    </row>
    <row r="2645" spans="1:13" x14ac:dyDescent="0.25">
      <c r="A2645" t="s">
        <v>6568</v>
      </c>
      <c r="B2645">
        <v>568823</v>
      </c>
      <c r="C2645">
        <v>5917325</v>
      </c>
      <c r="D2645">
        <v>21</v>
      </c>
      <c r="E2645" t="s">
        <v>15</v>
      </c>
      <c r="F2645" t="s">
        <v>6575</v>
      </c>
      <c r="G2645">
        <v>6</v>
      </c>
      <c r="H2645" t="s">
        <v>1577</v>
      </c>
      <c r="I2645" t="s">
        <v>114</v>
      </c>
      <c r="J2645" t="s">
        <v>1374</v>
      </c>
      <c r="K2645" t="s">
        <v>20</v>
      </c>
      <c r="L2645" t="s">
        <v>6576</v>
      </c>
      <c r="M2645" s="3" t="str">
        <f>HYPERLINK("..\..\Imagery\ScannedPhotos\1985\GM85-636.2.jpg")</f>
        <v>..\..\Imagery\ScannedPhotos\1985\GM85-636.2.jpg</v>
      </c>
    </row>
    <row r="2646" spans="1:13" x14ac:dyDescent="0.25">
      <c r="A2646" t="s">
        <v>4741</v>
      </c>
      <c r="B2646">
        <v>495032</v>
      </c>
      <c r="C2646">
        <v>5968359</v>
      </c>
      <c r="D2646">
        <v>21</v>
      </c>
      <c r="E2646" t="s">
        <v>15</v>
      </c>
      <c r="F2646" t="s">
        <v>6577</v>
      </c>
      <c r="G2646">
        <v>3</v>
      </c>
      <c r="H2646" t="s">
        <v>1964</v>
      </c>
      <c r="I2646" t="s">
        <v>132</v>
      </c>
      <c r="J2646" t="s">
        <v>1965</v>
      </c>
      <c r="K2646" t="s">
        <v>20</v>
      </c>
      <c r="L2646" t="s">
        <v>6578</v>
      </c>
      <c r="M2646" s="3" t="str">
        <f>HYPERLINK("..\..\Imagery\ScannedPhotos\1977\MC77-238.1.jpg")</f>
        <v>..\..\Imagery\ScannedPhotos\1977\MC77-238.1.jpg</v>
      </c>
    </row>
    <row r="2647" spans="1:13" x14ac:dyDescent="0.25">
      <c r="A2647" t="s">
        <v>6579</v>
      </c>
      <c r="B2647">
        <v>440498</v>
      </c>
      <c r="C2647">
        <v>5894863</v>
      </c>
      <c r="D2647">
        <v>21</v>
      </c>
      <c r="E2647" t="s">
        <v>15</v>
      </c>
      <c r="F2647" t="s">
        <v>6580</v>
      </c>
      <c r="G2647">
        <v>1</v>
      </c>
      <c r="H2647" t="s">
        <v>2895</v>
      </c>
      <c r="I2647" t="s">
        <v>143</v>
      </c>
      <c r="J2647" t="s">
        <v>2896</v>
      </c>
      <c r="K2647" t="s">
        <v>20</v>
      </c>
      <c r="L2647" t="s">
        <v>6581</v>
      </c>
      <c r="M2647" s="3" t="str">
        <f>HYPERLINK("..\..\Imagery\ScannedPhotos\1984\CG84-433.jpg")</f>
        <v>..\..\Imagery\ScannedPhotos\1984\CG84-433.jpg</v>
      </c>
    </row>
    <row r="2648" spans="1:13" x14ac:dyDescent="0.25">
      <c r="A2648" t="s">
        <v>4554</v>
      </c>
      <c r="B2648">
        <v>435648</v>
      </c>
      <c r="C2648">
        <v>5899908</v>
      </c>
      <c r="D2648">
        <v>21</v>
      </c>
      <c r="E2648" t="s">
        <v>15</v>
      </c>
      <c r="F2648" t="s">
        <v>6582</v>
      </c>
      <c r="G2648">
        <v>10</v>
      </c>
      <c r="H2648" t="s">
        <v>3982</v>
      </c>
      <c r="I2648" t="s">
        <v>35</v>
      </c>
      <c r="J2648" t="s">
        <v>2247</v>
      </c>
      <c r="K2648" t="s">
        <v>56</v>
      </c>
      <c r="L2648" t="s">
        <v>4556</v>
      </c>
      <c r="M2648" s="3" t="str">
        <f>HYPERLINK("..\..\Imagery\ScannedPhotos\1984\CG84-435.10.jpg")</f>
        <v>..\..\Imagery\ScannedPhotos\1984\CG84-435.10.jpg</v>
      </c>
    </row>
    <row r="2649" spans="1:13" x14ac:dyDescent="0.25">
      <c r="A2649" t="s">
        <v>6583</v>
      </c>
      <c r="B2649">
        <v>477286</v>
      </c>
      <c r="C2649">
        <v>5786968</v>
      </c>
      <c r="D2649">
        <v>21</v>
      </c>
      <c r="E2649" t="s">
        <v>15</v>
      </c>
      <c r="F2649" t="s">
        <v>6584</v>
      </c>
      <c r="G2649">
        <v>2</v>
      </c>
      <c r="H2649" t="s">
        <v>1163</v>
      </c>
      <c r="I2649" t="s">
        <v>418</v>
      </c>
      <c r="J2649" t="s">
        <v>814</v>
      </c>
      <c r="K2649" t="s">
        <v>56</v>
      </c>
      <c r="L2649" t="s">
        <v>2281</v>
      </c>
      <c r="M2649" s="3" t="str">
        <f>HYPERLINK("..\..\Imagery\ScannedPhotos\1992\VN92-139.1.jpg")</f>
        <v>..\..\Imagery\ScannedPhotos\1992\VN92-139.1.jpg</v>
      </c>
    </row>
    <row r="2650" spans="1:13" x14ac:dyDescent="0.25">
      <c r="A2650" t="s">
        <v>2387</v>
      </c>
      <c r="B2650">
        <v>476316</v>
      </c>
      <c r="C2650">
        <v>5785511</v>
      </c>
      <c r="D2650">
        <v>21</v>
      </c>
      <c r="E2650" t="s">
        <v>15</v>
      </c>
      <c r="F2650" t="s">
        <v>6585</v>
      </c>
      <c r="G2650">
        <v>2</v>
      </c>
      <c r="H2650" t="s">
        <v>1163</v>
      </c>
      <c r="I2650" t="s">
        <v>195</v>
      </c>
      <c r="J2650" t="s">
        <v>814</v>
      </c>
      <c r="K2650" t="s">
        <v>56</v>
      </c>
      <c r="L2650" t="s">
        <v>6586</v>
      </c>
      <c r="M2650" s="3" t="str">
        <f>HYPERLINK("..\..\Imagery\ScannedPhotos\1992\VN92-141.1.jpg")</f>
        <v>..\..\Imagery\ScannedPhotos\1992\VN92-141.1.jpg</v>
      </c>
    </row>
    <row r="2651" spans="1:13" x14ac:dyDescent="0.25">
      <c r="A2651" t="s">
        <v>6587</v>
      </c>
      <c r="B2651">
        <v>477850</v>
      </c>
      <c r="C2651">
        <v>5807600</v>
      </c>
      <c r="D2651">
        <v>21</v>
      </c>
      <c r="E2651" t="s">
        <v>15</v>
      </c>
      <c r="F2651" t="s">
        <v>6588</v>
      </c>
      <c r="G2651">
        <v>1</v>
      </c>
      <c r="H2651" t="s">
        <v>1095</v>
      </c>
      <c r="I2651" t="s">
        <v>108</v>
      </c>
      <c r="J2651" t="s">
        <v>1096</v>
      </c>
      <c r="K2651" t="s">
        <v>56</v>
      </c>
      <c r="L2651" t="s">
        <v>6589</v>
      </c>
      <c r="M2651" s="3" t="str">
        <f>HYPERLINK("..\..\Imagery\ScannedPhotos\1992\VN92-086.jpg")</f>
        <v>..\..\Imagery\ScannedPhotos\1992\VN92-086.jpg</v>
      </c>
    </row>
    <row r="2652" spans="1:13" x14ac:dyDescent="0.25">
      <c r="A2652" t="s">
        <v>6590</v>
      </c>
      <c r="B2652">
        <v>477996</v>
      </c>
      <c r="C2652">
        <v>5807086</v>
      </c>
      <c r="D2652">
        <v>21</v>
      </c>
      <c r="E2652" t="s">
        <v>15</v>
      </c>
      <c r="F2652" t="s">
        <v>6591</v>
      </c>
      <c r="G2652">
        <v>1</v>
      </c>
      <c r="H2652" t="s">
        <v>1095</v>
      </c>
      <c r="I2652" t="s">
        <v>132</v>
      </c>
      <c r="J2652" t="s">
        <v>1096</v>
      </c>
      <c r="K2652" t="s">
        <v>20</v>
      </c>
      <c r="L2652" t="s">
        <v>6592</v>
      </c>
      <c r="M2652" s="3" t="str">
        <f>HYPERLINK("..\..\Imagery\ScannedPhotos\1992\VN92-088.jpg")</f>
        <v>..\..\Imagery\ScannedPhotos\1992\VN92-088.jpg</v>
      </c>
    </row>
    <row r="2653" spans="1:13" x14ac:dyDescent="0.25">
      <c r="A2653" t="s">
        <v>6593</v>
      </c>
      <c r="B2653">
        <v>474383</v>
      </c>
      <c r="C2653">
        <v>5807970</v>
      </c>
      <c r="D2653">
        <v>21</v>
      </c>
      <c r="E2653" t="s">
        <v>15</v>
      </c>
      <c r="F2653" t="s">
        <v>6594</v>
      </c>
      <c r="G2653">
        <v>1</v>
      </c>
      <c r="H2653" t="s">
        <v>1095</v>
      </c>
      <c r="I2653" t="s">
        <v>47</v>
      </c>
      <c r="J2653" t="s">
        <v>1096</v>
      </c>
      <c r="K2653" t="s">
        <v>20</v>
      </c>
      <c r="L2653" t="s">
        <v>6595</v>
      </c>
      <c r="M2653" s="3" t="str">
        <f>HYPERLINK("..\..\Imagery\ScannedPhotos\1992\VN92-095.jpg")</f>
        <v>..\..\Imagery\ScannedPhotos\1992\VN92-095.jpg</v>
      </c>
    </row>
    <row r="2654" spans="1:13" x14ac:dyDescent="0.25">
      <c r="A2654" t="s">
        <v>6596</v>
      </c>
      <c r="B2654">
        <v>473991</v>
      </c>
      <c r="C2654">
        <v>5807494</v>
      </c>
      <c r="D2654">
        <v>21</v>
      </c>
      <c r="E2654" t="s">
        <v>15</v>
      </c>
      <c r="F2654" t="s">
        <v>6597</v>
      </c>
      <c r="G2654">
        <v>2</v>
      </c>
      <c r="H2654" t="s">
        <v>1095</v>
      </c>
      <c r="I2654" t="s">
        <v>65</v>
      </c>
      <c r="J2654" t="s">
        <v>1096</v>
      </c>
      <c r="K2654" t="s">
        <v>56</v>
      </c>
      <c r="L2654" t="s">
        <v>6598</v>
      </c>
      <c r="M2654" s="3" t="str">
        <f>HYPERLINK("..\..\Imagery\ScannedPhotos\1992\VN92-096.2.jpg")</f>
        <v>..\..\Imagery\ScannedPhotos\1992\VN92-096.2.jpg</v>
      </c>
    </row>
    <row r="2655" spans="1:13" x14ac:dyDescent="0.25">
      <c r="A2655" t="s">
        <v>6599</v>
      </c>
      <c r="B2655">
        <v>473533</v>
      </c>
      <c r="C2655">
        <v>5806877</v>
      </c>
      <c r="D2655">
        <v>21</v>
      </c>
      <c r="E2655" t="s">
        <v>15</v>
      </c>
      <c r="F2655" t="s">
        <v>6600</v>
      </c>
      <c r="G2655">
        <v>2</v>
      </c>
      <c r="H2655" t="s">
        <v>5587</v>
      </c>
      <c r="I2655" t="s">
        <v>79</v>
      </c>
      <c r="J2655" t="s">
        <v>2341</v>
      </c>
      <c r="K2655" t="s">
        <v>56</v>
      </c>
      <c r="L2655" t="s">
        <v>6601</v>
      </c>
      <c r="M2655" s="3" t="str">
        <f>HYPERLINK("..\..\Imagery\ScannedPhotos\1992\VN92-097.1.jpg")</f>
        <v>..\..\Imagery\ScannedPhotos\1992\VN92-097.1.jpg</v>
      </c>
    </row>
    <row r="2656" spans="1:13" x14ac:dyDescent="0.25">
      <c r="A2656" t="s">
        <v>6602</v>
      </c>
      <c r="B2656">
        <v>433997</v>
      </c>
      <c r="C2656">
        <v>5788851</v>
      </c>
      <c r="D2656">
        <v>21</v>
      </c>
      <c r="E2656" t="s">
        <v>15</v>
      </c>
      <c r="F2656" t="s">
        <v>6603</v>
      </c>
      <c r="G2656">
        <v>1</v>
      </c>
      <c r="H2656" t="s">
        <v>1107</v>
      </c>
      <c r="I2656" t="s">
        <v>137</v>
      </c>
      <c r="J2656" t="s">
        <v>747</v>
      </c>
      <c r="K2656" t="s">
        <v>56</v>
      </c>
      <c r="L2656" t="s">
        <v>6604</v>
      </c>
      <c r="M2656" s="3" t="str">
        <f>HYPERLINK("..\..\Imagery\ScannedPhotos\1992\CG92-113.jpg")</f>
        <v>..\..\Imagery\ScannedPhotos\1992\CG92-113.jpg</v>
      </c>
    </row>
    <row r="2657" spans="1:13" x14ac:dyDescent="0.25">
      <c r="A2657" t="s">
        <v>3553</v>
      </c>
      <c r="B2657">
        <v>575777</v>
      </c>
      <c r="C2657">
        <v>5827833</v>
      </c>
      <c r="D2657">
        <v>21</v>
      </c>
      <c r="E2657" t="s">
        <v>15</v>
      </c>
      <c r="F2657" t="s">
        <v>6605</v>
      </c>
      <c r="G2657">
        <v>7</v>
      </c>
      <c r="H2657" t="s">
        <v>288</v>
      </c>
      <c r="I2657" t="s">
        <v>30</v>
      </c>
      <c r="J2657" t="s">
        <v>289</v>
      </c>
      <c r="K2657" t="s">
        <v>20</v>
      </c>
      <c r="L2657" t="s">
        <v>6606</v>
      </c>
      <c r="M2657" s="3" t="str">
        <f>HYPERLINK("..\..\Imagery\ScannedPhotos\1986\CG86-688.6.jpg")</f>
        <v>..\..\Imagery\ScannedPhotos\1986\CG86-688.6.jpg</v>
      </c>
    </row>
    <row r="2658" spans="1:13" x14ac:dyDescent="0.25">
      <c r="A2658" t="s">
        <v>6607</v>
      </c>
      <c r="B2658">
        <v>566780</v>
      </c>
      <c r="C2658">
        <v>5749354</v>
      </c>
      <c r="D2658">
        <v>21</v>
      </c>
      <c r="E2658" t="s">
        <v>15</v>
      </c>
      <c r="F2658" t="s">
        <v>6608</v>
      </c>
      <c r="G2658">
        <v>1</v>
      </c>
      <c r="H2658" t="s">
        <v>1513</v>
      </c>
      <c r="I2658" t="s">
        <v>143</v>
      </c>
      <c r="J2658" t="s">
        <v>1514</v>
      </c>
      <c r="K2658" t="s">
        <v>56</v>
      </c>
      <c r="L2658" t="s">
        <v>6609</v>
      </c>
      <c r="M2658" s="3" t="str">
        <f>HYPERLINK("..\..\Imagery\ScannedPhotos\1993\CG93-456.jpg")</f>
        <v>..\..\Imagery\ScannedPhotos\1993\CG93-456.jpg</v>
      </c>
    </row>
    <row r="2659" spans="1:13" x14ac:dyDescent="0.25">
      <c r="A2659" t="s">
        <v>4499</v>
      </c>
      <c r="B2659">
        <v>370842</v>
      </c>
      <c r="C2659">
        <v>5910543</v>
      </c>
      <c r="D2659">
        <v>21</v>
      </c>
      <c r="E2659" t="s">
        <v>15</v>
      </c>
      <c r="F2659" t="s">
        <v>6610</v>
      </c>
      <c r="G2659">
        <v>2</v>
      </c>
      <c r="H2659" t="s">
        <v>562</v>
      </c>
      <c r="I2659" t="s">
        <v>108</v>
      </c>
      <c r="J2659" t="s">
        <v>563</v>
      </c>
      <c r="K2659" t="s">
        <v>56</v>
      </c>
      <c r="L2659" t="s">
        <v>4497</v>
      </c>
      <c r="M2659" s="3" t="str">
        <f>HYPERLINK("..\..\Imagery\ScannedPhotos\1995\VN95-154.2.jpg")</f>
        <v>..\..\Imagery\ScannedPhotos\1995\VN95-154.2.jpg</v>
      </c>
    </row>
    <row r="2660" spans="1:13" x14ac:dyDescent="0.25">
      <c r="A2660" t="s">
        <v>6611</v>
      </c>
      <c r="B2660">
        <v>409324</v>
      </c>
      <c r="C2660">
        <v>6004812</v>
      </c>
      <c r="D2660">
        <v>21</v>
      </c>
      <c r="E2660" t="s">
        <v>15</v>
      </c>
      <c r="F2660" t="s">
        <v>6612</v>
      </c>
      <c r="G2660">
        <v>4</v>
      </c>
      <c r="H2660" t="s">
        <v>900</v>
      </c>
      <c r="I2660" t="s">
        <v>143</v>
      </c>
      <c r="J2660" t="s">
        <v>652</v>
      </c>
      <c r="K2660" t="s">
        <v>20</v>
      </c>
      <c r="L2660" t="s">
        <v>6613</v>
      </c>
      <c r="M2660" s="3" t="str">
        <f>HYPERLINK("..\..\Imagery\ScannedPhotos\1980\RG80-038.2.jpg")</f>
        <v>..\..\Imagery\ScannedPhotos\1980\RG80-038.2.jpg</v>
      </c>
    </row>
    <row r="2661" spans="1:13" x14ac:dyDescent="0.25">
      <c r="A2661" t="s">
        <v>6611</v>
      </c>
      <c r="B2661">
        <v>409324</v>
      </c>
      <c r="C2661">
        <v>6004812</v>
      </c>
      <c r="D2661">
        <v>21</v>
      </c>
      <c r="E2661" t="s">
        <v>15</v>
      </c>
      <c r="F2661" t="s">
        <v>6614</v>
      </c>
      <c r="G2661">
        <v>4</v>
      </c>
      <c r="H2661" t="s">
        <v>900</v>
      </c>
      <c r="I2661" t="s">
        <v>129</v>
      </c>
      <c r="J2661" t="s">
        <v>652</v>
      </c>
      <c r="K2661" t="s">
        <v>20</v>
      </c>
      <c r="L2661" t="s">
        <v>6615</v>
      </c>
      <c r="M2661" s="3" t="str">
        <f>HYPERLINK("..\..\Imagery\ScannedPhotos\1980\RG80-038.1.jpg")</f>
        <v>..\..\Imagery\ScannedPhotos\1980\RG80-038.1.jpg</v>
      </c>
    </row>
    <row r="2662" spans="1:13" x14ac:dyDescent="0.25">
      <c r="A2662" t="s">
        <v>2180</v>
      </c>
      <c r="B2662">
        <v>415450</v>
      </c>
      <c r="C2662">
        <v>6008000</v>
      </c>
      <c r="D2662">
        <v>21</v>
      </c>
      <c r="E2662" t="s">
        <v>15</v>
      </c>
      <c r="F2662" t="s">
        <v>6616</v>
      </c>
      <c r="G2662">
        <v>6</v>
      </c>
      <c r="H2662" t="s">
        <v>1133</v>
      </c>
      <c r="I2662" t="s">
        <v>47</v>
      </c>
      <c r="J2662" t="s">
        <v>623</v>
      </c>
      <c r="K2662" t="s">
        <v>535</v>
      </c>
      <c r="L2662" t="s">
        <v>6617</v>
      </c>
      <c r="M2662" s="3" t="str">
        <f>HYPERLINK("..\..\Imagery\ScannedPhotos\1980\RG80-047.6.jpg")</f>
        <v>..\..\Imagery\ScannedPhotos\1980\RG80-047.6.jpg</v>
      </c>
    </row>
    <row r="2663" spans="1:13" x14ac:dyDescent="0.25">
      <c r="A2663" t="s">
        <v>2180</v>
      </c>
      <c r="B2663">
        <v>415450</v>
      </c>
      <c r="C2663">
        <v>6008000</v>
      </c>
      <c r="D2663">
        <v>21</v>
      </c>
      <c r="E2663" t="s">
        <v>15</v>
      </c>
      <c r="F2663" t="s">
        <v>6618</v>
      </c>
      <c r="G2663">
        <v>6</v>
      </c>
      <c r="H2663" t="s">
        <v>1518</v>
      </c>
      <c r="I2663" t="s">
        <v>195</v>
      </c>
      <c r="J2663" t="s">
        <v>48</v>
      </c>
      <c r="K2663" t="s">
        <v>20</v>
      </c>
      <c r="L2663" t="s">
        <v>2185</v>
      </c>
      <c r="M2663" s="3" t="str">
        <f>HYPERLINK("..\..\Imagery\ScannedPhotos\1980\RG80-047.4.jpg")</f>
        <v>..\..\Imagery\ScannedPhotos\1980\RG80-047.4.jpg</v>
      </c>
    </row>
    <row r="2664" spans="1:13" x14ac:dyDescent="0.25">
      <c r="A2664" t="s">
        <v>2180</v>
      </c>
      <c r="B2664">
        <v>415450</v>
      </c>
      <c r="C2664">
        <v>6008000</v>
      </c>
      <c r="D2664">
        <v>21</v>
      </c>
      <c r="E2664" t="s">
        <v>15</v>
      </c>
      <c r="F2664" t="s">
        <v>6619</v>
      </c>
      <c r="G2664">
        <v>6</v>
      </c>
      <c r="H2664" t="s">
        <v>758</v>
      </c>
      <c r="I2664" t="s">
        <v>79</v>
      </c>
      <c r="J2664" t="s">
        <v>759</v>
      </c>
      <c r="K2664" t="s">
        <v>56</v>
      </c>
      <c r="L2664" t="s">
        <v>2182</v>
      </c>
      <c r="M2664" s="3" t="str">
        <f>HYPERLINK("..\..\Imagery\ScannedPhotos\1980\RG80-047.2.jpg")</f>
        <v>..\..\Imagery\ScannedPhotos\1980\RG80-047.2.jpg</v>
      </c>
    </row>
    <row r="2665" spans="1:13" x14ac:dyDescent="0.25">
      <c r="A2665" t="s">
        <v>1074</v>
      </c>
      <c r="B2665">
        <v>517524</v>
      </c>
      <c r="C2665">
        <v>5712120</v>
      </c>
      <c r="D2665">
        <v>21</v>
      </c>
      <c r="E2665" t="s">
        <v>15</v>
      </c>
      <c r="F2665" t="s">
        <v>6620</v>
      </c>
      <c r="G2665">
        <v>9</v>
      </c>
      <c r="H2665" t="s">
        <v>1076</v>
      </c>
      <c r="I2665" t="s">
        <v>85</v>
      </c>
      <c r="J2665" t="s">
        <v>570</v>
      </c>
      <c r="K2665" t="s">
        <v>56</v>
      </c>
      <c r="L2665" t="s">
        <v>6621</v>
      </c>
      <c r="M2665" s="3" t="str">
        <f>HYPERLINK("..\..\Imagery\ScannedPhotos\1993\CG93-268.8.jpg")</f>
        <v>..\..\Imagery\ScannedPhotos\1993\CG93-268.8.jpg</v>
      </c>
    </row>
    <row r="2666" spans="1:13" x14ac:dyDescent="0.25">
      <c r="A2666" t="s">
        <v>6622</v>
      </c>
      <c r="B2666">
        <v>517410</v>
      </c>
      <c r="C2666">
        <v>5711920</v>
      </c>
      <c r="D2666">
        <v>21</v>
      </c>
      <c r="E2666" t="s">
        <v>15</v>
      </c>
      <c r="F2666" t="s">
        <v>6623</v>
      </c>
      <c r="G2666">
        <v>2</v>
      </c>
      <c r="H2666" t="s">
        <v>1076</v>
      </c>
      <c r="I2666" t="s">
        <v>375</v>
      </c>
      <c r="J2666" t="s">
        <v>570</v>
      </c>
      <c r="K2666" t="s">
        <v>20</v>
      </c>
      <c r="L2666" t="s">
        <v>4669</v>
      </c>
      <c r="M2666" s="3" t="str">
        <f>HYPERLINK("..\..\Imagery\ScannedPhotos\1993\CG93-269.1.jpg")</f>
        <v>..\..\Imagery\ScannedPhotos\1993\CG93-269.1.jpg</v>
      </c>
    </row>
    <row r="2667" spans="1:13" x14ac:dyDescent="0.25">
      <c r="A2667" t="s">
        <v>6622</v>
      </c>
      <c r="B2667">
        <v>517410</v>
      </c>
      <c r="C2667">
        <v>5711920</v>
      </c>
      <c r="D2667">
        <v>21</v>
      </c>
      <c r="E2667" t="s">
        <v>15</v>
      </c>
      <c r="F2667" t="s">
        <v>6624</v>
      </c>
      <c r="G2667">
        <v>2</v>
      </c>
      <c r="H2667" t="s">
        <v>1076</v>
      </c>
      <c r="I2667" t="s">
        <v>94</v>
      </c>
      <c r="J2667" t="s">
        <v>570</v>
      </c>
      <c r="K2667" t="s">
        <v>56</v>
      </c>
      <c r="L2667" t="s">
        <v>4669</v>
      </c>
      <c r="M2667" s="3" t="str">
        <f>HYPERLINK("..\..\Imagery\ScannedPhotos\1993\CG93-269.2.jpg")</f>
        <v>..\..\Imagery\ScannedPhotos\1993\CG93-269.2.jpg</v>
      </c>
    </row>
    <row r="2668" spans="1:13" x14ac:dyDescent="0.25">
      <c r="A2668" t="s">
        <v>6625</v>
      </c>
      <c r="B2668">
        <v>517072</v>
      </c>
      <c r="C2668">
        <v>5711910</v>
      </c>
      <c r="D2668">
        <v>21</v>
      </c>
      <c r="E2668" t="s">
        <v>15</v>
      </c>
      <c r="F2668" t="s">
        <v>6626</v>
      </c>
      <c r="G2668">
        <v>1</v>
      </c>
      <c r="H2668" t="s">
        <v>1076</v>
      </c>
      <c r="I2668" t="s">
        <v>209</v>
      </c>
      <c r="J2668" t="s">
        <v>570</v>
      </c>
      <c r="K2668" t="s">
        <v>56</v>
      </c>
      <c r="L2668" t="s">
        <v>6627</v>
      </c>
      <c r="M2668" s="3" t="str">
        <f>HYPERLINK("..\..\Imagery\ScannedPhotos\1993\CG93-270.jpg")</f>
        <v>..\..\Imagery\ScannedPhotos\1993\CG93-270.jpg</v>
      </c>
    </row>
    <row r="2669" spans="1:13" x14ac:dyDescent="0.25">
      <c r="A2669" t="s">
        <v>6628</v>
      </c>
      <c r="B2669">
        <v>516964</v>
      </c>
      <c r="C2669">
        <v>5711754</v>
      </c>
      <c r="D2669">
        <v>21</v>
      </c>
      <c r="E2669" t="s">
        <v>15</v>
      </c>
      <c r="F2669" t="s">
        <v>6629</v>
      </c>
      <c r="G2669">
        <v>1</v>
      </c>
      <c r="H2669" t="s">
        <v>1076</v>
      </c>
      <c r="I2669" t="s">
        <v>386</v>
      </c>
      <c r="J2669" t="s">
        <v>570</v>
      </c>
      <c r="K2669" t="s">
        <v>20</v>
      </c>
      <c r="L2669" t="s">
        <v>6630</v>
      </c>
      <c r="M2669" s="3" t="str">
        <f>HYPERLINK("..\..\Imagery\ScannedPhotos\1993\CG93-271.jpg")</f>
        <v>..\..\Imagery\ScannedPhotos\1993\CG93-271.jpg</v>
      </c>
    </row>
    <row r="2670" spans="1:13" x14ac:dyDescent="0.25">
      <c r="A2670" t="s">
        <v>6631</v>
      </c>
      <c r="B2670">
        <v>596770</v>
      </c>
      <c r="C2670">
        <v>5792404</v>
      </c>
      <c r="D2670">
        <v>21</v>
      </c>
      <c r="E2670" t="s">
        <v>15</v>
      </c>
      <c r="F2670" t="s">
        <v>6632</v>
      </c>
      <c r="G2670">
        <v>2</v>
      </c>
      <c r="K2670" t="s">
        <v>20</v>
      </c>
      <c r="L2670" t="s">
        <v>6633</v>
      </c>
      <c r="M2670" s="3" t="str">
        <f>HYPERLINK("..\..\Imagery\ScannedPhotos\2007\CG07-175.1.jpg")</f>
        <v>..\..\Imagery\ScannedPhotos\2007\CG07-175.1.jpg</v>
      </c>
    </row>
    <row r="2671" spans="1:13" x14ac:dyDescent="0.25">
      <c r="A2671" t="s">
        <v>6631</v>
      </c>
      <c r="B2671">
        <v>596770</v>
      </c>
      <c r="C2671">
        <v>5792404</v>
      </c>
      <c r="D2671">
        <v>21</v>
      </c>
      <c r="E2671" t="s">
        <v>15</v>
      </c>
      <c r="F2671" t="s">
        <v>6634</v>
      </c>
      <c r="G2671">
        <v>2</v>
      </c>
      <c r="K2671" t="s">
        <v>20</v>
      </c>
      <c r="L2671" t="s">
        <v>6633</v>
      </c>
      <c r="M2671" s="3" t="str">
        <f>HYPERLINK("..\..\Imagery\ScannedPhotos\2007\CG07-175.2.jpg")</f>
        <v>..\..\Imagery\ScannedPhotos\2007\CG07-175.2.jpg</v>
      </c>
    </row>
    <row r="2672" spans="1:13" x14ac:dyDescent="0.25">
      <c r="A2672" t="s">
        <v>1705</v>
      </c>
      <c r="B2672">
        <v>596769</v>
      </c>
      <c r="C2672">
        <v>5792417</v>
      </c>
      <c r="D2672">
        <v>21</v>
      </c>
      <c r="E2672" t="s">
        <v>15</v>
      </c>
      <c r="F2672" t="s">
        <v>6635</v>
      </c>
      <c r="G2672">
        <v>4</v>
      </c>
      <c r="K2672" t="s">
        <v>20</v>
      </c>
      <c r="L2672" t="s">
        <v>6636</v>
      </c>
      <c r="M2672" s="3" t="str">
        <f>HYPERLINK("..\..\Imagery\ScannedPhotos\2007\CG07-176.1.jpg")</f>
        <v>..\..\Imagery\ScannedPhotos\2007\CG07-176.1.jpg</v>
      </c>
    </row>
    <row r="2673" spans="1:13" x14ac:dyDescent="0.25">
      <c r="A2673" t="s">
        <v>1705</v>
      </c>
      <c r="B2673">
        <v>596769</v>
      </c>
      <c r="C2673">
        <v>5792417</v>
      </c>
      <c r="D2673">
        <v>21</v>
      </c>
      <c r="E2673" t="s">
        <v>15</v>
      </c>
      <c r="F2673" t="s">
        <v>6637</v>
      </c>
      <c r="G2673">
        <v>4</v>
      </c>
      <c r="K2673" t="s">
        <v>20</v>
      </c>
      <c r="L2673" t="s">
        <v>6638</v>
      </c>
      <c r="M2673" s="3" t="str">
        <f>HYPERLINK("..\..\Imagery\ScannedPhotos\2007\CG07-176.2.jpg")</f>
        <v>..\..\Imagery\ScannedPhotos\2007\CG07-176.2.jpg</v>
      </c>
    </row>
    <row r="2674" spans="1:13" x14ac:dyDescent="0.25">
      <c r="A2674" t="s">
        <v>2721</v>
      </c>
      <c r="B2674">
        <v>494465</v>
      </c>
      <c r="C2674">
        <v>5825015</v>
      </c>
      <c r="D2674">
        <v>21</v>
      </c>
      <c r="E2674" t="s">
        <v>15</v>
      </c>
      <c r="F2674" t="s">
        <v>6639</v>
      </c>
      <c r="G2674">
        <v>4</v>
      </c>
      <c r="H2674" t="s">
        <v>792</v>
      </c>
      <c r="I2674" t="s">
        <v>281</v>
      </c>
      <c r="J2674" t="s">
        <v>793</v>
      </c>
      <c r="K2674" t="s">
        <v>56</v>
      </c>
      <c r="L2674" t="s">
        <v>6640</v>
      </c>
      <c r="M2674" s="3" t="str">
        <f>HYPERLINK("..\..\Imagery\ScannedPhotos\1991\VN91-292.2.jpg")</f>
        <v>..\..\Imagery\ScannedPhotos\1991\VN91-292.2.jpg</v>
      </c>
    </row>
    <row r="2675" spans="1:13" x14ac:dyDescent="0.25">
      <c r="A2675" t="s">
        <v>6641</v>
      </c>
      <c r="B2675">
        <v>494650</v>
      </c>
      <c r="C2675">
        <v>5825740</v>
      </c>
      <c r="D2675">
        <v>21</v>
      </c>
      <c r="E2675" t="s">
        <v>15</v>
      </c>
      <c r="F2675" t="s">
        <v>6642</v>
      </c>
      <c r="G2675">
        <v>2</v>
      </c>
      <c r="H2675" t="s">
        <v>792</v>
      </c>
      <c r="I2675" t="s">
        <v>69</v>
      </c>
      <c r="J2675" t="s">
        <v>793</v>
      </c>
      <c r="K2675" t="s">
        <v>20</v>
      </c>
      <c r="L2675" t="s">
        <v>6643</v>
      </c>
      <c r="M2675" s="3" t="str">
        <f>HYPERLINK("..\..\Imagery\ScannedPhotos\1991\VN91-293.2.jpg")</f>
        <v>..\..\Imagery\ScannedPhotos\1991\VN91-293.2.jpg</v>
      </c>
    </row>
    <row r="2676" spans="1:13" x14ac:dyDescent="0.25">
      <c r="A2676" t="s">
        <v>6641</v>
      </c>
      <c r="B2676">
        <v>494650</v>
      </c>
      <c r="C2676">
        <v>5825740</v>
      </c>
      <c r="D2676">
        <v>21</v>
      </c>
      <c r="E2676" t="s">
        <v>15</v>
      </c>
      <c r="F2676" t="s">
        <v>6644</v>
      </c>
      <c r="G2676">
        <v>2</v>
      </c>
      <c r="H2676" t="s">
        <v>792</v>
      </c>
      <c r="I2676" t="s">
        <v>35</v>
      </c>
      <c r="J2676" t="s">
        <v>793</v>
      </c>
      <c r="K2676" t="s">
        <v>20</v>
      </c>
      <c r="L2676" t="s">
        <v>6643</v>
      </c>
      <c r="M2676" s="3" t="str">
        <f>HYPERLINK("..\..\Imagery\ScannedPhotos\1991\VN91-293.1.jpg")</f>
        <v>..\..\Imagery\ScannedPhotos\1991\VN91-293.1.jpg</v>
      </c>
    </row>
    <row r="2677" spans="1:13" x14ac:dyDescent="0.25">
      <c r="A2677" t="s">
        <v>4801</v>
      </c>
      <c r="B2677">
        <v>377431</v>
      </c>
      <c r="C2677">
        <v>5976883</v>
      </c>
      <c r="D2677">
        <v>21</v>
      </c>
      <c r="E2677" t="s">
        <v>15</v>
      </c>
      <c r="F2677" t="s">
        <v>6645</v>
      </c>
      <c r="G2677">
        <v>3</v>
      </c>
      <c r="H2677" t="s">
        <v>622</v>
      </c>
      <c r="I2677" t="s">
        <v>41</v>
      </c>
      <c r="J2677" t="s">
        <v>623</v>
      </c>
      <c r="K2677" t="s">
        <v>20</v>
      </c>
      <c r="L2677" t="s">
        <v>6646</v>
      </c>
      <c r="M2677" s="3" t="str">
        <f>HYPERLINK("..\..\Imagery\ScannedPhotos\1980\NN80-155.2.jpg")</f>
        <v>..\..\Imagery\ScannedPhotos\1980\NN80-155.2.jpg</v>
      </c>
    </row>
    <row r="2678" spans="1:13" x14ac:dyDescent="0.25">
      <c r="A2678" t="s">
        <v>4801</v>
      </c>
      <c r="B2678">
        <v>377431</v>
      </c>
      <c r="C2678">
        <v>5976883</v>
      </c>
      <c r="D2678">
        <v>21</v>
      </c>
      <c r="E2678" t="s">
        <v>15</v>
      </c>
      <c r="F2678" t="s">
        <v>6647</v>
      </c>
      <c r="G2678">
        <v>3</v>
      </c>
      <c r="H2678" t="s">
        <v>622</v>
      </c>
      <c r="I2678" t="s">
        <v>85</v>
      </c>
      <c r="J2678" t="s">
        <v>623</v>
      </c>
      <c r="K2678" t="s">
        <v>20</v>
      </c>
      <c r="L2678" t="s">
        <v>6646</v>
      </c>
      <c r="M2678" s="3" t="str">
        <f>HYPERLINK("..\..\Imagery\ScannedPhotos\1980\NN80-155.3.jpg")</f>
        <v>..\..\Imagery\ScannedPhotos\1980\NN80-155.3.jpg</v>
      </c>
    </row>
    <row r="2679" spans="1:13" x14ac:dyDescent="0.25">
      <c r="A2679" t="s">
        <v>6568</v>
      </c>
      <c r="B2679">
        <v>568823</v>
      </c>
      <c r="C2679">
        <v>5917325</v>
      </c>
      <c r="D2679">
        <v>21</v>
      </c>
      <c r="E2679" t="s">
        <v>15</v>
      </c>
      <c r="F2679" t="s">
        <v>6648</v>
      </c>
      <c r="G2679">
        <v>6</v>
      </c>
      <c r="H2679" t="s">
        <v>1577</v>
      </c>
      <c r="I2679" t="s">
        <v>119</v>
      </c>
      <c r="J2679" t="s">
        <v>1374</v>
      </c>
      <c r="K2679" t="s">
        <v>20</v>
      </c>
      <c r="L2679" t="s">
        <v>6576</v>
      </c>
      <c r="M2679" s="3" t="str">
        <f>HYPERLINK("..\..\Imagery\ScannedPhotos\1985\GM85-636.3.jpg")</f>
        <v>..\..\Imagery\ScannedPhotos\1985\GM85-636.3.jpg</v>
      </c>
    </row>
    <row r="2680" spans="1:13" x14ac:dyDescent="0.25">
      <c r="A2680" t="s">
        <v>6568</v>
      </c>
      <c r="B2680">
        <v>568823</v>
      </c>
      <c r="C2680">
        <v>5917325</v>
      </c>
      <c r="D2680">
        <v>21</v>
      </c>
      <c r="E2680" t="s">
        <v>15</v>
      </c>
      <c r="F2680" t="s">
        <v>6649</v>
      </c>
      <c r="G2680">
        <v>6</v>
      </c>
      <c r="H2680" t="s">
        <v>1577</v>
      </c>
      <c r="I2680" t="s">
        <v>30</v>
      </c>
      <c r="J2680" t="s">
        <v>1374</v>
      </c>
      <c r="K2680" t="s">
        <v>20</v>
      </c>
      <c r="L2680" t="s">
        <v>6576</v>
      </c>
      <c r="M2680" s="3" t="str">
        <f>HYPERLINK("..\..\Imagery\ScannedPhotos\1985\GM85-636.1.jpg")</f>
        <v>..\..\Imagery\ScannedPhotos\1985\GM85-636.1.jpg</v>
      </c>
    </row>
    <row r="2681" spans="1:13" x14ac:dyDescent="0.25">
      <c r="A2681" t="s">
        <v>5659</v>
      </c>
      <c r="B2681">
        <v>568722</v>
      </c>
      <c r="C2681">
        <v>5917524</v>
      </c>
      <c r="D2681">
        <v>21</v>
      </c>
      <c r="E2681" t="s">
        <v>15</v>
      </c>
      <c r="F2681" t="s">
        <v>6650</v>
      </c>
      <c r="G2681">
        <v>4</v>
      </c>
      <c r="H2681" t="s">
        <v>1577</v>
      </c>
      <c r="I2681" t="s">
        <v>129</v>
      </c>
      <c r="J2681" t="s">
        <v>1374</v>
      </c>
      <c r="K2681" t="s">
        <v>20</v>
      </c>
      <c r="L2681" t="s">
        <v>5664</v>
      </c>
      <c r="M2681" s="3" t="str">
        <f>HYPERLINK("..\..\Imagery\ScannedPhotos\1985\GM85-637.2.jpg")</f>
        <v>..\..\Imagery\ScannedPhotos\1985\GM85-637.2.jpg</v>
      </c>
    </row>
    <row r="2682" spans="1:13" x14ac:dyDescent="0.25">
      <c r="A2682" t="s">
        <v>6651</v>
      </c>
      <c r="B2682">
        <v>464740</v>
      </c>
      <c r="C2682">
        <v>5965250</v>
      </c>
      <c r="D2682">
        <v>21</v>
      </c>
      <c r="E2682" t="s">
        <v>15</v>
      </c>
      <c r="F2682" t="s">
        <v>6652</v>
      </c>
      <c r="G2682">
        <v>2</v>
      </c>
      <c r="H2682" t="s">
        <v>4524</v>
      </c>
      <c r="I2682" t="s">
        <v>195</v>
      </c>
      <c r="J2682" t="s">
        <v>3309</v>
      </c>
      <c r="K2682" t="s">
        <v>20</v>
      </c>
      <c r="L2682" t="s">
        <v>6653</v>
      </c>
      <c r="M2682" s="3" t="str">
        <f>HYPERLINK("..\..\Imagery\ScannedPhotos\1981\CG81-475.2.jpg")</f>
        <v>..\..\Imagery\ScannedPhotos\1981\CG81-475.2.jpg</v>
      </c>
    </row>
    <row r="2683" spans="1:13" x14ac:dyDescent="0.25">
      <c r="A2683" t="s">
        <v>6651</v>
      </c>
      <c r="B2683">
        <v>464740</v>
      </c>
      <c r="C2683">
        <v>5965250</v>
      </c>
      <c r="D2683">
        <v>21</v>
      </c>
      <c r="E2683" t="s">
        <v>15</v>
      </c>
      <c r="F2683" t="s">
        <v>6654</v>
      </c>
      <c r="G2683">
        <v>2</v>
      </c>
      <c r="H2683" t="s">
        <v>4524</v>
      </c>
      <c r="I2683" t="s">
        <v>304</v>
      </c>
      <c r="J2683" t="s">
        <v>3309</v>
      </c>
      <c r="K2683" t="s">
        <v>20</v>
      </c>
      <c r="L2683" t="s">
        <v>6655</v>
      </c>
      <c r="M2683" s="3" t="str">
        <f>HYPERLINK("..\..\Imagery\ScannedPhotos\1981\CG81-475.1.jpg")</f>
        <v>..\..\Imagery\ScannedPhotos\1981\CG81-475.1.jpg</v>
      </c>
    </row>
    <row r="2684" spans="1:13" x14ac:dyDescent="0.25">
      <c r="A2684" t="s">
        <v>6656</v>
      </c>
      <c r="B2684">
        <v>457200</v>
      </c>
      <c r="C2684">
        <v>5932600</v>
      </c>
      <c r="D2684">
        <v>21</v>
      </c>
      <c r="E2684" t="s">
        <v>15</v>
      </c>
      <c r="F2684" t="s">
        <v>6657</v>
      </c>
      <c r="G2684">
        <v>2</v>
      </c>
      <c r="H2684" t="s">
        <v>845</v>
      </c>
      <c r="I2684" t="s">
        <v>94</v>
      </c>
      <c r="J2684" t="s">
        <v>48</v>
      </c>
      <c r="K2684" t="s">
        <v>20</v>
      </c>
      <c r="L2684" t="s">
        <v>6658</v>
      </c>
      <c r="M2684" s="3" t="str">
        <f>HYPERLINK("..\..\Imagery\ScannedPhotos\1981\CG81-476.1.jpg")</f>
        <v>..\..\Imagery\ScannedPhotos\1981\CG81-476.1.jpg</v>
      </c>
    </row>
    <row r="2685" spans="1:13" x14ac:dyDescent="0.25">
      <c r="A2685" t="s">
        <v>6656</v>
      </c>
      <c r="B2685">
        <v>457200</v>
      </c>
      <c r="C2685">
        <v>5932600</v>
      </c>
      <c r="D2685">
        <v>21</v>
      </c>
      <c r="E2685" t="s">
        <v>15</v>
      </c>
      <c r="F2685" t="s">
        <v>6659</v>
      </c>
      <c r="G2685">
        <v>2</v>
      </c>
      <c r="H2685" t="s">
        <v>845</v>
      </c>
      <c r="I2685" t="s">
        <v>209</v>
      </c>
      <c r="J2685" t="s">
        <v>48</v>
      </c>
      <c r="K2685" t="s">
        <v>20</v>
      </c>
      <c r="L2685" t="s">
        <v>6658</v>
      </c>
      <c r="M2685" s="3" t="str">
        <f>HYPERLINK("..\..\Imagery\ScannedPhotos\1981\CG81-476.2.jpg")</f>
        <v>..\..\Imagery\ScannedPhotos\1981\CG81-476.2.jpg</v>
      </c>
    </row>
    <row r="2686" spans="1:13" x14ac:dyDescent="0.25">
      <c r="A2686" t="s">
        <v>1748</v>
      </c>
      <c r="B2686">
        <v>558172</v>
      </c>
      <c r="C2686">
        <v>5813098</v>
      </c>
      <c r="D2686">
        <v>21</v>
      </c>
      <c r="E2686" t="s">
        <v>15</v>
      </c>
      <c r="F2686" t="s">
        <v>6660</v>
      </c>
      <c r="G2686">
        <v>10</v>
      </c>
      <c r="H2686" t="s">
        <v>2106</v>
      </c>
      <c r="I2686" t="s">
        <v>41</v>
      </c>
      <c r="J2686" t="s">
        <v>2107</v>
      </c>
      <c r="K2686" t="s">
        <v>56</v>
      </c>
      <c r="L2686" t="s">
        <v>1756</v>
      </c>
      <c r="M2686" s="3" t="str">
        <f>HYPERLINK("..\..\Imagery\ScannedPhotos\1987\CG87-055.1.jpg")</f>
        <v>..\..\Imagery\ScannedPhotos\1987\CG87-055.1.jpg</v>
      </c>
    </row>
    <row r="2687" spans="1:13" x14ac:dyDescent="0.25">
      <c r="A2687" t="s">
        <v>1748</v>
      </c>
      <c r="B2687">
        <v>558172</v>
      </c>
      <c r="C2687">
        <v>5813098</v>
      </c>
      <c r="D2687">
        <v>21</v>
      </c>
      <c r="E2687" t="s">
        <v>15</v>
      </c>
      <c r="F2687" t="s">
        <v>6661</v>
      </c>
      <c r="G2687">
        <v>10</v>
      </c>
      <c r="H2687" t="s">
        <v>2106</v>
      </c>
      <c r="I2687" t="s">
        <v>375</v>
      </c>
      <c r="J2687" t="s">
        <v>2107</v>
      </c>
      <c r="K2687" t="s">
        <v>20</v>
      </c>
      <c r="L2687" t="s">
        <v>6662</v>
      </c>
      <c r="M2687" s="3" t="str">
        <f>HYPERLINK("..\..\Imagery\ScannedPhotos\1987\CG87-055.3.jpg")</f>
        <v>..\..\Imagery\ScannedPhotos\1987\CG87-055.3.jpg</v>
      </c>
    </row>
    <row r="2688" spans="1:13" x14ac:dyDescent="0.25">
      <c r="A2688" t="s">
        <v>2097</v>
      </c>
      <c r="B2688">
        <v>538258</v>
      </c>
      <c r="C2688">
        <v>5794495</v>
      </c>
      <c r="D2688">
        <v>21</v>
      </c>
      <c r="E2688" t="s">
        <v>15</v>
      </c>
      <c r="F2688" t="s">
        <v>6663</v>
      </c>
      <c r="G2688">
        <v>5</v>
      </c>
      <c r="H2688" t="s">
        <v>2099</v>
      </c>
      <c r="J2688" t="s">
        <v>48</v>
      </c>
      <c r="K2688" t="s">
        <v>20</v>
      </c>
      <c r="L2688" t="s">
        <v>2100</v>
      </c>
      <c r="M2688" s="3" t="str">
        <f>HYPERLINK("..\..\Imagery\ScannedPhotos\1987\CG87-105.2.jpg")</f>
        <v>..\..\Imagery\ScannedPhotos\1987\CG87-105.2.jpg</v>
      </c>
    </row>
    <row r="2689" spans="1:13" x14ac:dyDescent="0.25">
      <c r="A2689" t="s">
        <v>2097</v>
      </c>
      <c r="B2689">
        <v>538258</v>
      </c>
      <c r="C2689">
        <v>5794495</v>
      </c>
      <c r="D2689">
        <v>21</v>
      </c>
      <c r="E2689" t="s">
        <v>15</v>
      </c>
      <c r="F2689" t="s">
        <v>6664</v>
      </c>
      <c r="G2689">
        <v>5</v>
      </c>
      <c r="H2689" t="s">
        <v>2484</v>
      </c>
      <c r="I2689" t="s">
        <v>386</v>
      </c>
      <c r="J2689" t="s">
        <v>2485</v>
      </c>
      <c r="K2689" t="s">
        <v>20</v>
      </c>
      <c r="L2689" t="s">
        <v>6665</v>
      </c>
      <c r="M2689" s="3" t="str">
        <f>HYPERLINK("..\..\Imagery\ScannedPhotos\1987\CG87-105.5.jpg")</f>
        <v>..\..\Imagery\ScannedPhotos\1987\CG87-105.5.jpg</v>
      </c>
    </row>
    <row r="2690" spans="1:13" x14ac:dyDescent="0.25">
      <c r="A2690" t="s">
        <v>2097</v>
      </c>
      <c r="B2690">
        <v>538258</v>
      </c>
      <c r="C2690">
        <v>5794495</v>
      </c>
      <c r="D2690">
        <v>21</v>
      </c>
      <c r="E2690" t="s">
        <v>15</v>
      </c>
      <c r="F2690" t="s">
        <v>6666</v>
      </c>
      <c r="G2690">
        <v>5</v>
      </c>
      <c r="H2690" t="s">
        <v>2099</v>
      </c>
      <c r="J2690" t="s">
        <v>48</v>
      </c>
      <c r="K2690" t="s">
        <v>20</v>
      </c>
      <c r="L2690" t="s">
        <v>6667</v>
      </c>
      <c r="M2690" s="3" t="str">
        <f>HYPERLINK("..\..\Imagery\ScannedPhotos\1987\CG87-105.1.jpg")</f>
        <v>..\..\Imagery\ScannedPhotos\1987\CG87-105.1.jpg</v>
      </c>
    </row>
    <row r="2691" spans="1:13" x14ac:dyDescent="0.25">
      <c r="A2691" t="s">
        <v>2903</v>
      </c>
      <c r="B2691">
        <v>488794</v>
      </c>
      <c r="C2691">
        <v>5945132</v>
      </c>
      <c r="D2691">
        <v>21</v>
      </c>
      <c r="E2691" t="s">
        <v>15</v>
      </c>
      <c r="F2691" t="s">
        <v>6668</v>
      </c>
      <c r="G2691">
        <v>2</v>
      </c>
      <c r="H2691" t="s">
        <v>113</v>
      </c>
      <c r="I2691" t="s">
        <v>18</v>
      </c>
      <c r="J2691" t="s">
        <v>115</v>
      </c>
      <c r="K2691" t="s">
        <v>20</v>
      </c>
      <c r="L2691" t="s">
        <v>2905</v>
      </c>
      <c r="M2691" s="3" t="str">
        <f>HYPERLINK("..\..\Imagery\ScannedPhotos\1977\MC77-036.1.jpg")</f>
        <v>..\..\Imagery\ScannedPhotos\1977\MC77-036.1.jpg</v>
      </c>
    </row>
    <row r="2692" spans="1:13" x14ac:dyDescent="0.25">
      <c r="A2692" t="s">
        <v>5566</v>
      </c>
      <c r="B2692">
        <v>408520</v>
      </c>
      <c r="C2692">
        <v>6010434</v>
      </c>
      <c r="D2692">
        <v>21</v>
      </c>
      <c r="E2692" t="s">
        <v>15</v>
      </c>
      <c r="F2692" t="s">
        <v>6669</v>
      </c>
      <c r="G2692">
        <v>2</v>
      </c>
      <c r="H2692" t="s">
        <v>2319</v>
      </c>
      <c r="I2692" t="s">
        <v>129</v>
      </c>
      <c r="J2692" t="s">
        <v>759</v>
      </c>
      <c r="K2692" t="s">
        <v>20</v>
      </c>
      <c r="L2692" t="s">
        <v>6670</v>
      </c>
      <c r="M2692" s="3" t="str">
        <f>HYPERLINK("..\..\Imagery\ScannedPhotos\1980\CG80-028.1.jpg")</f>
        <v>..\..\Imagery\ScannedPhotos\1980\CG80-028.1.jpg</v>
      </c>
    </row>
    <row r="2693" spans="1:13" x14ac:dyDescent="0.25">
      <c r="A2693" t="s">
        <v>6671</v>
      </c>
      <c r="B2693">
        <v>575755</v>
      </c>
      <c r="C2693">
        <v>5786189</v>
      </c>
      <c r="D2693">
        <v>21</v>
      </c>
      <c r="E2693" t="s">
        <v>15</v>
      </c>
      <c r="F2693" t="s">
        <v>6672</v>
      </c>
      <c r="G2693">
        <v>1</v>
      </c>
      <c r="K2693" t="s">
        <v>56</v>
      </c>
      <c r="L2693" t="s">
        <v>6673</v>
      </c>
      <c r="M2693" s="3" t="str">
        <f>HYPERLINK("..\..\Imagery\ScannedPhotos\2003\CG03-125.jpg")</f>
        <v>..\..\Imagery\ScannedPhotos\2003\CG03-125.jpg</v>
      </c>
    </row>
    <row r="2694" spans="1:13" x14ac:dyDescent="0.25">
      <c r="A2694" t="s">
        <v>6674</v>
      </c>
      <c r="B2694">
        <v>578741</v>
      </c>
      <c r="C2694">
        <v>5794240</v>
      </c>
      <c r="D2694">
        <v>21</v>
      </c>
      <c r="E2694" t="s">
        <v>15</v>
      </c>
      <c r="F2694" t="s">
        <v>6675</v>
      </c>
      <c r="G2694">
        <v>1</v>
      </c>
      <c r="K2694" t="s">
        <v>20</v>
      </c>
      <c r="L2694" t="s">
        <v>6676</v>
      </c>
      <c r="M2694" s="3" t="str">
        <f>HYPERLINK("..\..\Imagery\ScannedPhotos\2003\CG03-131.jpg")</f>
        <v>..\..\Imagery\ScannedPhotos\2003\CG03-131.jpg</v>
      </c>
    </row>
    <row r="2695" spans="1:13" x14ac:dyDescent="0.25">
      <c r="A2695" t="s">
        <v>6677</v>
      </c>
      <c r="B2695">
        <v>577136</v>
      </c>
      <c r="C2695">
        <v>5794594</v>
      </c>
      <c r="D2695">
        <v>21</v>
      </c>
      <c r="E2695" t="s">
        <v>15</v>
      </c>
      <c r="F2695" t="s">
        <v>6678</v>
      </c>
      <c r="G2695">
        <v>1</v>
      </c>
      <c r="K2695" t="s">
        <v>56</v>
      </c>
      <c r="L2695" t="s">
        <v>6679</v>
      </c>
      <c r="M2695" s="3" t="str">
        <f>HYPERLINK("..\..\Imagery\ScannedPhotos\2003\CG03-135.jpg")</f>
        <v>..\..\Imagery\ScannedPhotos\2003\CG03-135.jpg</v>
      </c>
    </row>
    <row r="2696" spans="1:13" x14ac:dyDescent="0.25">
      <c r="A2696" t="s">
        <v>6680</v>
      </c>
      <c r="B2696">
        <v>575672</v>
      </c>
      <c r="C2696">
        <v>5794385</v>
      </c>
      <c r="D2696">
        <v>21</v>
      </c>
      <c r="E2696" t="s">
        <v>15</v>
      </c>
      <c r="F2696" t="s">
        <v>6681</v>
      </c>
      <c r="G2696">
        <v>1</v>
      </c>
      <c r="K2696" t="s">
        <v>56</v>
      </c>
      <c r="L2696" t="s">
        <v>6682</v>
      </c>
      <c r="M2696" s="3" t="str">
        <f>HYPERLINK("..\..\Imagery\ScannedPhotos\2003\CG03-139.jpg")</f>
        <v>..\..\Imagery\ScannedPhotos\2003\CG03-139.jpg</v>
      </c>
    </row>
    <row r="2697" spans="1:13" x14ac:dyDescent="0.25">
      <c r="A2697" t="s">
        <v>1809</v>
      </c>
      <c r="B2697">
        <v>571489</v>
      </c>
      <c r="C2697">
        <v>5796641</v>
      </c>
      <c r="D2697">
        <v>21</v>
      </c>
      <c r="E2697" t="s">
        <v>15</v>
      </c>
      <c r="F2697" t="s">
        <v>6683</v>
      </c>
      <c r="G2697">
        <v>4</v>
      </c>
      <c r="K2697" t="s">
        <v>56</v>
      </c>
      <c r="L2697" t="s">
        <v>6682</v>
      </c>
      <c r="M2697" s="3" t="str">
        <f>HYPERLINK("..\..\Imagery\ScannedPhotos\2003\CG03-146.4.jpg")</f>
        <v>..\..\Imagery\ScannedPhotos\2003\CG03-146.4.jpg</v>
      </c>
    </row>
    <row r="2698" spans="1:13" x14ac:dyDescent="0.25">
      <c r="A2698" t="s">
        <v>1809</v>
      </c>
      <c r="B2698">
        <v>571489</v>
      </c>
      <c r="C2698">
        <v>5796641</v>
      </c>
      <c r="D2698">
        <v>21</v>
      </c>
      <c r="E2698" t="s">
        <v>15</v>
      </c>
      <c r="F2698" t="s">
        <v>6684</v>
      </c>
      <c r="G2698">
        <v>4</v>
      </c>
      <c r="K2698" t="s">
        <v>20</v>
      </c>
      <c r="L2698" t="s">
        <v>6685</v>
      </c>
      <c r="M2698" s="3" t="str">
        <f>HYPERLINK("..\..\Imagery\ScannedPhotos\2003\CG03-146.1.jpg")</f>
        <v>..\..\Imagery\ScannedPhotos\2003\CG03-146.1.jpg</v>
      </c>
    </row>
    <row r="2699" spans="1:13" x14ac:dyDescent="0.25">
      <c r="A2699" t="s">
        <v>6686</v>
      </c>
      <c r="B2699">
        <v>576291</v>
      </c>
      <c r="C2699">
        <v>5812114</v>
      </c>
      <c r="D2699">
        <v>21</v>
      </c>
      <c r="E2699" t="s">
        <v>15</v>
      </c>
      <c r="F2699" t="s">
        <v>6687</v>
      </c>
      <c r="G2699">
        <v>3</v>
      </c>
      <c r="H2699" t="s">
        <v>5918</v>
      </c>
      <c r="I2699" t="s">
        <v>25</v>
      </c>
      <c r="J2699" t="s">
        <v>1619</v>
      </c>
      <c r="K2699" t="s">
        <v>20</v>
      </c>
      <c r="L2699" t="s">
        <v>6688</v>
      </c>
      <c r="M2699" s="3" t="str">
        <f>HYPERLINK("..\..\Imagery\ScannedPhotos\1987\VN87-146.1.jpg")</f>
        <v>..\..\Imagery\ScannedPhotos\1987\VN87-146.1.jpg</v>
      </c>
    </row>
    <row r="2700" spans="1:13" x14ac:dyDescent="0.25">
      <c r="A2700" t="s">
        <v>6686</v>
      </c>
      <c r="B2700">
        <v>576291</v>
      </c>
      <c r="C2700">
        <v>5812114</v>
      </c>
      <c r="D2700">
        <v>21</v>
      </c>
      <c r="E2700" t="s">
        <v>15</v>
      </c>
      <c r="F2700" t="s">
        <v>6689</v>
      </c>
      <c r="G2700">
        <v>3</v>
      </c>
      <c r="H2700" t="s">
        <v>5918</v>
      </c>
      <c r="I2700" t="s">
        <v>360</v>
      </c>
      <c r="J2700" t="s">
        <v>1619</v>
      </c>
      <c r="K2700" t="s">
        <v>20</v>
      </c>
      <c r="L2700" t="s">
        <v>6690</v>
      </c>
      <c r="M2700" s="3" t="str">
        <f>HYPERLINK("..\..\Imagery\ScannedPhotos\1987\VN87-146.2.jpg")</f>
        <v>..\..\Imagery\ScannedPhotos\1987\VN87-146.2.jpg</v>
      </c>
    </row>
    <row r="2701" spans="1:13" x14ac:dyDescent="0.25">
      <c r="A2701" t="s">
        <v>6691</v>
      </c>
      <c r="B2701">
        <v>575496</v>
      </c>
      <c r="C2701">
        <v>5811248</v>
      </c>
      <c r="D2701">
        <v>21</v>
      </c>
      <c r="E2701" t="s">
        <v>15</v>
      </c>
      <c r="F2701" t="s">
        <v>6692</v>
      </c>
      <c r="G2701">
        <v>1</v>
      </c>
      <c r="H2701" t="s">
        <v>5918</v>
      </c>
      <c r="I2701" t="s">
        <v>108</v>
      </c>
      <c r="J2701" t="s">
        <v>1619</v>
      </c>
      <c r="K2701" t="s">
        <v>20</v>
      </c>
      <c r="L2701" t="s">
        <v>6693</v>
      </c>
      <c r="M2701" s="3" t="str">
        <f>HYPERLINK("..\..\Imagery\ScannedPhotos\1987\VN87-148.jpg")</f>
        <v>..\..\Imagery\ScannedPhotos\1987\VN87-148.jpg</v>
      </c>
    </row>
    <row r="2702" spans="1:13" x14ac:dyDescent="0.25">
      <c r="A2702" t="s">
        <v>6694</v>
      </c>
      <c r="B2702">
        <v>561421</v>
      </c>
      <c r="C2702">
        <v>5792857</v>
      </c>
      <c r="D2702">
        <v>21</v>
      </c>
      <c r="E2702" t="s">
        <v>15</v>
      </c>
      <c r="F2702" t="s">
        <v>6695</v>
      </c>
      <c r="G2702">
        <v>1</v>
      </c>
      <c r="H2702" t="s">
        <v>5918</v>
      </c>
      <c r="I2702" t="s">
        <v>132</v>
      </c>
      <c r="J2702" t="s">
        <v>1619</v>
      </c>
      <c r="K2702" t="s">
        <v>20</v>
      </c>
      <c r="L2702" t="s">
        <v>6696</v>
      </c>
      <c r="M2702" s="3" t="str">
        <f>HYPERLINK("..\..\Imagery\ScannedPhotos\1987\VN87-192.jpg")</f>
        <v>..\..\Imagery\ScannedPhotos\1987\VN87-192.jpg</v>
      </c>
    </row>
    <row r="2703" spans="1:13" x14ac:dyDescent="0.25">
      <c r="A2703" t="s">
        <v>6697</v>
      </c>
      <c r="B2703">
        <v>457902</v>
      </c>
      <c r="C2703">
        <v>5885144</v>
      </c>
      <c r="D2703">
        <v>21</v>
      </c>
      <c r="E2703" t="s">
        <v>15</v>
      </c>
      <c r="F2703" t="s">
        <v>6698</v>
      </c>
      <c r="G2703">
        <v>3</v>
      </c>
      <c r="H2703" t="s">
        <v>2395</v>
      </c>
      <c r="I2703" t="s">
        <v>209</v>
      </c>
      <c r="J2703" t="s">
        <v>2247</v>
      </c>
      <c r="K2703" t="s">
        <v>20</v>
      </c>
      <c r="L2703" t="s">
        <v>6699</v>
      </c>
      <c r="M2703" s="3" t="str">
        <f>HYPERLINK("..\..\Imagery\ScannedPhotos\1984\VN84-505.1.jpg")</f>
        <v>..\..\Imagery\ScannedPhotos\1984\VN84-505.1.jpg</v>
      </c>
    </row>
    <row r="2704" spans="1:13" x14ac:dyDescent="0.25">
      <c r="A2704" t="s">
        <v>6697</v>
      </c>
      <c r="B2704">
        <v>457902</v>
      </c>
      <c r="C2704">
        <v>5885144</v>
      </c>
      <c r="D2704">
        <v>21</v>
      </c>
      <c r="E2704" t="s">
        <v>15</v>
      </c>
      <c r="F2704" t="s">
        <v>6700</v>
      </c>
      <c r="G2704">
        <v>3</v>
      </c>
      <c r="H2704" t="s">
        <v>2395</v>
      </c>
      <c r="I2704" t="s">
        <v>217</v>
      </c>
      <c r="J2704" t="s">
        <v>2247</v>
      </c>
      <c r="K2704" t="s">
        <v>20</v>
      </c>
      <c r="L2704" t="s">
        <v>6701</v>
      </c>
      <c r="M2704" s="3" t="str">
        <f>HYPERLINK("..\..\Imagery\ScannedPhotos\1984\VN84-505.3.jpg")</f>
        <v>..\..\Imagery\ScannedPhotos\1984\VN84-505.3.jpg</v>
      </c>
    </row>
    <row r="2705" spans="1:13" x14ac:dyDescent="0.25">
      <c r="A2705" t="s">
        <v>2393</v>
      </c>
      <c r="B2705">
        <v>458000</v>
      </c>
      <c r="C2705">
        <v>5884992</v>
      </c>
      <c r="D2705">
        <v>21</v>
      </c>
      <c r="E2705" t="s">
        <v>15</v>
      </c>
      <c r="F2705" t="s">
        <v>6702</v>
      </c>
      <c r="G2705">
        <v>2</v>
      </c>
      <c r="H2705" t="s">
        <v>2395</v>
      </c>
      <c r="I2705" t="s">
        <v>214</v>
      </c>
      <c r="J2705" t="s">
        <v>2247</v>
      </c>
      <c r="K2705" t="s">
        <v>56</v>
      </c>
      <c r="L2705" t="s">
        <v>2396</v>
      </c>
      <c r="M2705" s="3" t="str">
        <f>HYPERLINK("..\..\Imagery\ScannedPhotos\1984\VN84-506.1.jpg")</f>
        <v>..\..\Imagery\ScannedPhotos\1984\VN84-506.1.jpg</v>
      </c>
    </row>
    <row r="2706" spans="1:13" x14ac:dyDescent="0.25">
      <c r="A2706" t="s">
        <v>6703</v>
      </c>
      <c r="B2706">
        <v>494374</v>
      </c>
      <c r="C2706">
        <v>5945332</v>
      </c>
      <c r="D2706">
        <v>21</v>
      </c>
      <c r="E2706" t="s">
        <v>15</v>
      </c>
      <c r="F2706" t="s">
        <v>6704</v>
      </c>
      <c r="G2706">
        <v>3</v>
      </c>
      <c r="H2706" t="s">
        <v>4820</v>
      </c>
      <c r="I2706" t="s">
        <v>35</v>
      </c>
      <c r="J2706" t="s">
        <v>4821</v>
      </c>
      <c r="K2706" t="s">
        <v>20</v>
      </c>
      <c r="L2706" t="s">
        <v>4907</v>
      </c>
      <c r="M2706" s="3" t="str">
        <f>HYPERLINK("..\..\Imagery\ScannedPhotos\1981\CG81-046.2.jpg")</f>
        <v>..\..\Imagery\ScannedPhotos\1981\CG81-046.2.jpg</v>
      </c>
    </row>
    <row r="2707" spans="1:13" x14ac:dyDescent="0.25">
      <c r="A2707" t="s">
        <v>6705</v>
      </c>
      <c r="B2707">
        <v>492900</v>
      </c>
      <c r="C2707">
        <v>5832353</v>
      </c>
      <c r="D2707">
        <v>21</v>
      </c>
      <c r="E2707" t="s">
        <v>15</v>
      </c>
      <c r="F2707" t="s">
        <v>6706</v>
      </c>
      <c r="G2707">
        <v>2</v>
      </c>
      <c r="H2707" t="s">
        <v>890</v>
      </c>
      <c r="I2707" t="s">
        <v>304</v>
      </c>
      <c r="J2707" t="s">
        <v>891</v>
      </c>
      <c r="K2707" t="s">
        <v>20</v>
      </c>
      <c r="L2707" t="s">
        <v>6707</v>
      </c>
      <c r="M2707" s="3" t="str">
        <f>HYPERLINK("..\..\Imagery\ScannedPhotos\1991\VN91-226.2.jpg")</f>
        <v>..\..\Imagery\ScannedPhotos\1991\VN91-226.2.jpg</v>
      </c>
    </row>
    <row r="2708" spans="1:13" x14ac:dyDescent="0.25">
      <c r="A2708" t="s">
        <v>6705</v>
      </c>
      <c r="B2708">
        <v>492900</v>
      </c>
      <c r="C2708">
        <v>5832353</v>
      </c>
      <c r="D2708">
        <v>21</v>
      </c>
      <c r="E2708" t="s">
        <v>15</v>
      </c>
      <c r="F2708" t="s">
        <v>6708</v>
      </c>
      <c r="G2708">
        <v>2</v>
      </c>
      <c r="H2708" t="s">
        <v>890</v>
      </c>
      <c r="I2708" t="s">
        <v>222</v>
      </c>
      <c r="J2708" t="s">
        <v>891</v>
      </c>
      <c r="K2708" t="s">
        <v>20</v>
      </c>
      <c r="L2708" t="s">
        <v>6709</v>
      </c>
      <c r="M2708" s="3" t="str">
        <f>HYPERLINK("..\..\Imagery\ScannedPhotos\1991\VN91-226.1.jpg")</f>
        <v>..\..\Imagery\ScannedPhotos\1991\VN91-226.1.jpg</v>
      </c>
    </row>
    <row r="2709" spans="1:13" x14ac:dyDescent="0.25">
      <c r="A2709" t="s">
        <v>6710</v>
      </c>
      <c r="B2709">
        <v>494365</v>
      </c>
      <c r="C2709">
        <v>5832600</v>
      </c>
      <c r="D2709">
        <v>21</v>
      </c>
      <c r="E2709" t="s">
        <v>15</v>
      </c>
      <c r="F2709" t="s">
        <v>6711</v>
      </c>
      <c r="G2709">
        <v>1</v>
      </c>
      <c r="H2709" t="s">
        <v>890</v>
      </c>
      <c r="I2709" t="s">
        <v>195</v>
      </c>
      <c r="J2709" t="s">
        <v>891</v>
      </c>
      <c r="K2709" t="s">
        <v>56</v>
      </c>
      <c r="L2709" t="s">
        <v>6712</v>
      </c>
      <c r="M2709" s="3" t="str">
        <f>HYPERLINK("..\..\Imagery\ScannedPhotos\1991\VN91-229.jpg")</f>
        <v>..\..\Imagery\ScannedPhotos\1991\VN91-229.jpg</v>
      </c>
    </row>
    <row r="2710" spans="1:13" x14ac:dyDescent="0.25">
      <c r="A2710" t="s">
        <v>6713</v>
      </c>
      <c r="B2710">
        <v>495897</v>
      </c>
      <c r="C2710">
        <v>5832529</v>
      </c>
      <c r="D2710">
        <v>21</v>
      </c>
      <c r="E2710" t="s">
        <v>15</v>
      </c>
      <c r="F2710" t="s">
        <v>6714</v>
      </c>
      <c r="G2710">
        <v>1</v>
      </c>
      <c r="H2710" t="s">
        <v>890</v>
      </c>
      <c r="I2710" t="s">
        <v>25</v>
      </c>
      <c r="J2710" t="s">
        <v>891</v>
      </c>
      <c r="K2710" t="s">
        <v>20</v>
      </c>
      <c r="L2710" t="s">
        <v>6715</v>
      </c>
      <c r="M2710" s="3" t="str">
        <f>HYPERLINK("..\..\Imagery\ScannedPhotos\1991\VN91-230.jpg")</f>
        <v>..\..\Imagery\ScannedPhotos\1991\VN91-230.jpg</v>
      </c>
    </row>
    <row r="2711" spans="1:13" x14ac:dyDescent="0.25">
      <c r="A2711" t="s">
        <v>1612</v>
      </c>
      <c r="B2711">
        <v>462216</v>
      </c>
      <c r="C2711">
        <v>5837217</v>
      </c>
      <c r="D2711">
        <v>21</v>
      </c>
      <c r="E2711" t="s">
        <v>15</v>
      </c>
      <c r="F2711" t="s">
        <v>6716</v>
      </c>
      <c r="G2711">
        <v>8</v>
      </c>
      <c r="H2711" t="s">
        <v>1163</v>
      </c>
      <c r="I2711" t="s">
        <v>294</v>
      </c>
      <c r="J2711" t="s">
        <v>814</v>
      </c>
      <c r="K2711" t="s">
        <v>20</v>
      </c>
      <c r="L2711" t="s">
        <v>6717</v>
      </c>
      <c r="M2711" s="3" t="str">
        <f>HYPERLINK("..\..\Imagery\ScannedPhotos\1991\VN91-233.6.jpg")</f>
        <v>..\..\Imagery\ScannedPhotos\1991\VN91-233.6.jpg</v>
      </c>
    </row>
    <row r="2712" spans="1:13" x14ac:dyDescent="0.25">
      <c r="A2712" t="s">
        <v>1612</v>
      </c>
      <c r="B2712">
        <v>462216</v>
      </c>
      <c r="C2712">
        <v>5837217</v>
      </c>
      <c r="D2712">
        <v>21</v>
      </c>
      <c r="E2712" t="s">
        <v>15</v>
      </c>
      <c r="F2712" t="s">
        <v>6718</v>
      </c>
      <c r="G2712">
        <v>8</v>
      </c>
      <c r="H2712" t="s">
        <v>4733</v>
      </c>
      <c r="I2712" t="s">
        <v>41</v>
      </c>
      <c r="J2712" t="s">
        <v>5860</v>
      </c>
      <c r="K2712" t="s">
        <v>20</v>
      </c>
      <c r="L2712" t="s">
        <v>6719</v>
      </c>
      <c r="M2712" s="3" t="str">
        <f>HYPERLINK("..\..\Imagery\ScannedPhotos\1991\VN91-233.5.jpg")</f>
        <v>..\..\Imagery\ScannedPhotos\1991\VN91-233.5.jpg</v>
      </c>
    </row>
    <row r="2713" spans="1:13" x14ac:dyDescent="0.25">
      <c r="A2713" t="s">
        <v>6720</v>
      </c>
      <c r="B2713">
        <v>419958</v>
      </c>
      <c r="C2713">
        <v>6008769</v>
      </c>
      <c r="D2713">
        <v>21</v>
      </c>
      <c r="E2713" t="s">
        <v>15</v>
      </c>
      <c r="F2713" t="s">
        <v>6721</v>
      </c>
      <c r="G2713">
        <v>1</v>
      </c>
      <c r="H2713" t="s">
        <v>900</v>
      </c>
      <c r="I2713" t="s">
        <v>360</v>
      </c>
      <c r="J2713" t="s">
        <v>652</v>
      </c>
      <c r="K2713" t="s">
        <v>20</v>
      </c>
      <c r="L2713" t="s">
        <v>6722</v>
      </c>
      <c r="M2713" s="3" t="str">
        <f>HYPERLINK("..\..\Imagery\ScannedPhotos\1980\RG80-025.jpg")</f>
        <v>..\..\Imagery\ScannedPhotos\1980\RG80-025.jpg</v>
      </c>
    </row>
    <row r="2714" spans="1:13" x14ac:dyDescent="0.25">
      <c r="A2714" t="s">
        <v>6723</v>
      </c>
      <c r="B2714">
        <v>420530</v>
      </c>
      <c r="C2714">
        <v>6009144</v>
      </c>
      <c r="D2714">
        <v>21</v>
      </c>
      <c r="E2714" t="s">
        <v>15</v>
      </c>
      <c r="F2714" t="s">
        <v>6724</v>
      </c>
      <c r="G2714">
        <v>2</v>
      </c>
      <c r="H2714" t="s">
        <v>900</v>
      </c>
      <c r="I2714" t="s">
        <v>30</v>
      </c>
      <c r="J2714" t="s">
        <v>652</v>
      </c>
      <c r="K2714" t="s">
        <v>20</v>
      </c>
      <c r="L2714" t="s">
        <v>6725</v>
      </c>
      <c r="M2714" s="3" t="str">
        <f>HYPERLINK("..\..\Imagery\ScannedPhotos\1980\RG80-027.2.jpg")</f>
        <v>..\..\Imagery\ScannedPhotos\1980\RG80-027.2.jpg</v>
      </c>
    </row>
    <row r="2715" spans="1:13" x14ac:dyDescent="0.25">
      <c r="A2715" t="s">
        <v>6723</v>
      </c>
      <c r="B2715">
        <v>420530</v>
      </c>
      <c r="C2715">
        <v>6009144</v>
      </c>
      <c r="D2715">
        <v>21</v>
      </c>
      <c r="E2715" t="s">
        <v>15</v>
      </c>
      <c r="F2715" t="s">
        <v>6726</v>
      </c>
      <c r="G2715">
        <v>2</v>
      </c>
      <c r="H2715" t="s">
        <v>900</v>
      </c>
      <c r="I2715" t="s">
        <v>647</v>
      </c>
      <c r="J2715" t="s">
        <v>652</v>
      </c>
      <c r="K2715" t="s">
        <v>20</v>
      </c>
      <c r="L2715" t="s">
        <v>6725</v>
      </c>
      <c r="M2715" s="3" t="str">
        <f>HYPERLINK("..\..\Imagery\ScannedPhotos\1980\RG80-027.1.jpg")</f>
        <v>..\..\Imagery\ScannedPhotos\1980\RG80-027.1.jpg</v>
      </c>
    </row>
    <row r="2716" spans="1:13" x14ac:dyDescent="0.25">
      <c r="A2716" t="s">
        <v>6727</v>
      </c>
      <c r="B2716">
        <v>420749</v>
      </c>
      <c r="C2716">
        <v>6009162</v>
      </c>
      <c r="D2716">
        <v>21</v>
      </c>
      <c r="E2716" t="s">
        <v>15</v>
      </c>
      <c r="F2716" t="s">
        <v>6728</v>
      </c>
      <c r="G2716">
        <v>1</v>
      </c>
      <c r="H2716" t="s">
        <v>900</v>
      </c>
      <c r="I2716" t="s">
        <v>114</v>
      </c>
      <c r="J2716" t="s">
        <v>652</v>
      </c>
      <c r="K2716" t="s">
        <v>20</v>
      </c>
      <c r="L2716" t="s">
        <v>6729</v>
      </c>
      <c r="M2716" s="3" t="str">
        <f>HYPERLINK("..\..\Imagery\ScannedPhotos\1980\RG80-028.jpg")</f>
        <v>..\..\Imagery\ScannedPhotos\1980\RG80-028.jpg</v>
      </c>
    </row>
    <row r="2717" spans="1:13" x14ac:dyDescent="0.25">
      <c r="A2717" t="s">
        <v>3553</v>
      </c>
      <c r="B2717">
        <v>575777</v>
      </c>
      <c r="C2717">
        <v>5827833</v>
      </c>
      <c r="D2717">
        <v>21</v>
      </c>
      <c r="E2717" t="s">
        <v>15</v>
      </c>
      <c r="F2717" t="s">
        <v>6730</v>
      </c>
      <c r="G2717">
        <v>7</v>
      </c>
      <c r="H2717" t="s">
        <v>288</v>
      </c>
      <c r="I2717" t="s">
        <v>114</v>
      </c>
      <c r="J2717" t="s">
        <v>289</v>
      </c>
      <c r="K2717" t="s">
        <v>20</v>
      </c>
      <c r="L2717" t="s">
        <v>3718</v>
      </c>
      <c r="M2717" s="3" t="str">
        <f>HYPERLINK("..\..\Imagery\ScannedPhotos\1986\CG86-688.7.jpg")</f>
        <v>..\..\Imagery\ScannedPhotos\1986\CG86-688.7.jpg</v>
      </c>
    </row>
    <row r="2718" spans="1:13" x14ac:dyDescent="0.25">
      <c r="A2718" t="s">
        <v>6731</v>
      </c>
      <c r="B2718">
        <v>578274</v>
      </c>
      <c r="C2718">
        <v>5827190</v>
      </c>
      <c r="D2718">
        <v>21</v>
      </c>
      <c r="E2718" t="s">
        <v>15</v>
      </c>
      <c r="F2718" t="s">
        <v>6732</v>
      </c>
      <c r="G2718">
        <v>1</v>
      </c>
      <c r="H2718" t="s">
        <v>288</v>
      </c>
      <c r="I2718" t="s">
        <v>122</v>
      </c>
      <c r="J2718" t="s">
        <v>289</v>
      </c>
      <c r="K2718" t="s">
        <v>20</v>
      </c>
      <c r="L2718" t="s">
        <v>6733</v>
      </c>
      <c r="M2718" s="3" t="str">
        <f>HYPERLINK("..\..\Imagery\ScannedPhotos\1986\CG86-691.jpg")</f>
        <v>..\..\Imagery\ScannedPhotos\1986\CG86-691.jpg</v>
      </c>
    </row>
    <row r="2719" spans="1:13" x14ac:dyDescent="0.25">
      <c r="A2719" t="s">
        <v>6734</v>
      </c>
      <c r="B2719">
        <v>566896</v>
      </c>
      <c r="C2719">
        <v>5935605</v>
      </c>
      <c r="D2719">
        <v>21</v>
      </c>
      <c r="E2719" t="s">
        <v>15</v>
      </c>
      <c r="F2719" t="s">
        <v>6735</v>
      </c>
      <c r="G2719">
        <v>2</v>
      </c>
      <c r="H2719" t="s">
        <v>2687</v>
      </c>
      <c r="I2719" t="s">
        <v>25</v>
      </c>
      <c r="J2719" t="s">
        <v>1463</v>
      </c>
      <c r="K2719" t="s">
        <v>20</v>
      </c>
      <c r="L2719" t="s">
        <v>6736</v>
      </c>
      <c r="M2719" s="3" t="str">
        <f>HYPERLINK("..\..\Imagery\ScannedPhotos\1985\VN85-629.1.jpg")</f>
        <v>..\..\Imagery\ScannedPhotos\1985\VN85-629.1.jpg</v>
      </c>
    </row>
    <row r="2720" spans="1:13" x14ac:dyDescent="0.25">
      <c r="A2720" t="s">
        <v>6737</v>
      </c>
      <c r="B2720">
        <v>568105</v>
      </c>
      <c r="C2720">
        <v>5934622</v>
      </c>
      <c r="D2720">
        <v>21</v>
      </c>
      <c r="E2720" t="s">
        <v>15</v>
      </c>
      <c r="F2720" t="s">
        <v>6738</v>
      </c>
      <c r="G2720">
        <v>1</v>
      </c>
      <c r="H2720" t="s">
        <v>2687</v>
      </c>
      <c r="I2720" t="s">
        <v>647</v>
      </c>
      <c r="J2720" t="s">
        <v>1463</v>
      </c>
      <c r="K2720" t="s">
        <v>20</v>
      </c>
      <c r="L2720" t="s">
        <v>6739</v>
      </c>
      <c r="M2720" s="3" t="str">
        <f>HYPERLINK("..\..\Imagery\ScannedPhotos\1985\VN85-632.jpg")</f>
        <v>..\..\Imagery\ScannedPhotos\1985\VN85-632.jpg</v>
      </c>
    </row>
    <row r="2721" spans="1:13" x14ac:dyDescent="0.25">
      <c r="A2721" t="s">
        <v>6740</v>
      </c>
      <c r="B2721">
        <v>596767</v>
      </c>
      <c r="C2721">
        <v>5792470</v>
      </c>
      <c r="D2721">
        <v>21</v>
      </c>
      <c r="E2721" t="s">
        <v>15</v>
      </c>
      <c r="F2721" t="s">
        <v>6741</v>
      </c>
      <c r="G2721">
        <v>1</v>
      </c>
      <c r="K2721" t="s">
        <v>56</v>
      </c>
      <c r="L2721" t="s">
        <v>6742</v>
      </c>
      <c r="M2721" s="3" t="str">
        <f>HYPERLINK("..\..\Imagery\ScannedPhotos\2007\CG07-178.jpg")</f>
        <v>..\..\Imagery\ScannedPhotos\2007\CG07-178.jpg</v>
      </c>
    </row>
    <row r="2722" spans="1:13" x14ac:dyDescent="0.25">
      <c r="A2722" t="s">
        <v>6743</v>
      </c>
      <c r="B2722">
        <v>596772</v>
      </c>
      <c r="C2722">
        <v>5792488</v>
      </c>
      <c r="D2722">
        <v>21</v>
      </c>
      <c r="E2722" t="s">
        <v>15</v>
      </c>
      <c r="F2722" t="s">
        <v>6744</v>
      </c>
      <c r="G2722">
        <v>1</v>
      </c>
      <c r="K2722" t="s">
        <v>20</v>
      </c>
      <c r="L2722" t="s">
        <v>1709</v>
      </c>
      <c r="M2722" s="3" t="str">
        <f>HYPERLINK("..\..\Imagery\ScannedPhotos\2007\CG07-179.jpg")</f>
        <v>..\..\Imagery\ScannedPhotos\2007\CG07-179.jpg</v>
      </c>
    </row>
    <row r="2723" spans="1:13" x14ac:dyDescent="0.25">
      <c r="A2723" t="s">
        <v>6745</v>
      </c>
      <c r="B2723">
        <v>596735</v>
      </c>
      <c r="C2723">
        <v>5792554</v>
      </c>
      <c r="D2723">
        <v>21</v>
      </c>
      <c r="E2723" t="s">
        <v>15</v>
      </c>
      <c r="F2723" t="s">
        <v>6746</v>
      </c>
      <c r="G2723">
        <v>2</v>
      </c>
      <c r="K2723" t="s">
        <v>56</v>
      </c>
      <c r="L2723" t="s">
        <v>6747</v>
      </c>
      <c r="M2723" s="3" t="str">
        <f>HYPERLINK("..\..\Imagery\ScannedPhotos\2007\CG07-181.1.jpg")</f>
        <v>..\..\Imagery\ScannedPhotos\2007\CG07-181.1.jpg</v>
      </c>
    </row>
    <row r="2724" spans="1:13" x14ac:dyDescent="0.25">
      <c r="A2724" t="s">
        <v>6745</v>
      </c>
      <c r="B2724">
        <v>596735</v>
      </c>
      <c r="C2724">
        <v>5792554</v>
      </c>
      <c r="D2724">
        <v>21</v>
      </c>
      <c r="E2724" t="s">
        <v>15</v>
      </c>
      <c r="F2724" t="s">
        <v>6748</v>
      </c>
      <c r="G2724">
        <v>2</v>
      </c>
      <c r="K2724" t="s">
        <v>56</v>
      </c>
      <c r="L2724" t="s">
        <v>6749</v>
      </c>
      <c r="M2724" s="3" t="str">
        <f>HYPERLINK("..\..\Imagery\ScannedPhotos\2007\CG07-181.2.jpg")</f>
        <v>..\..\Imagery\ScannedPhotos\2007\CG07-181.2.jpg</v>
      </c>
    </row>
    <row r="2725" spans="1:13" x14ac:dyDescent="0.25">
      <c r="A2725" t="s">
        <v>6750</v>
      </c>
      <c r="B2725">
        <v>596733</v>
      </c>
      <c r="C2725">
        <v>5792640</v>
      </c>
      <c r="D2725">
        <v>21</v>
      </c>
      <c r="E2725" t="s">
        <v>15</v>
      </c>
      <c r="F2725" t="s">
        <v>6751</v>
      </c>
      <c r="G2725">
        <v>3</v>
      </c>
      <c r="K2725" t="s">
        <v>56</v>
      </c>
      <c r="L2725" t="s">
        <v>6752</v>
      </c>
      <c r="M2725" s="3" t="str">
        <f>HYPERLINK("..\..\Imagery\ScannedPhotos\2007\CG07-184.3.jpg")</f>
        <v>..\..\Imagery\ScannedPhotos\2007\CG07-184.3.jpg</v>
      </c>
    </row>
    <row r="2726" spans="1:13" x14ac:dyDescent="0.25">
      <c r="A2726" t="s">
        <v>6750</v>
      </c>
      <c r="B2726">
        <v>596733</v>
      </c>
      <c r="C2726">
        <v>5792640</v>
      </c>
      <c r="D2726">
        <v>21</v>
      </c>
      <c r="E2726" t="s">
        <v>15</v>
      </c>
      <c r="F2726" t="s">
        <v>6753</v>
      </c>
      <c r="G2726">
        <v>3</v>
      </c>
      <c r="K2726" t="s">
        <v>56</v>
      </c>
      <c r="L2726" t="s">
        <v>6754</v>
      </c>
      <c r="M2726" s="3" t="str">
        <f>HYPERLINK("..\..\Imagery\ScannedPhotos\2007\CG07-184.1.jpg")</f>
        <v>..\..\Imagery\ScannedPhotos\2007\CG07-184.1.jpg</v>
      </c>
    </row>
    <row r="2727" spans="1:13" x14ac:dyDescent="0.25">
      <c r="A2727" t="s">
        <v>6750</v>
      </c>
      <c r="B2727">
        <v>596733</v>
      </c>
      <c r="C2727">
        <v>5792640</v>
      </c>
      <c r="D2727">
        <v>21</v>
      </c>
      <c r="E2727" t="s">
        <v>15</v>
      </c>
      <c r="F2727" t="s">
        <v>6755</v>
      </c>
      <c r="G2727">
        <v>3</v>
      </c>
      <c r="K2727" t="s">
        <v>56</v>
      </c>
      <c r="L2727" t="s">
        <v>2203</v>
      </c>
      <c r="M2727" s="3" t="str">
        <f>HYPERLINK("..\..\Imagery\ScannedPhotos\2007\CG07-184.2.jpg")</f>
        <v>..\..\Imagery\ScannedPhotos\2007\CG07-184.2.jpg</v>
      </c>
    </row>
    <row r="2728" spans="1:13" x14ac:dyDescent="0.25">
      <c r="A2728" t="s">
        <v>6756</v>
      </c>
      <c r="B2728">
        <v>596704</v>
      </c>
      <c r="C2728">
        <v>5792713</v>
      </c>
      <c r="D2728">
        <v>21</v>
      </c>
      <c r="E2728" t="s">
        <v>15</v>
      </c>
      <c r="F2728" t="s">
        <v>6757</v>
      </c>
      <c r="G2728">
        <v>2</v>
      </c>
      <c r="K2728" t="s">
        <v>56</v>
      </c>
      <c r="L2728" t="s">
        <v>3352</v>
      </c>
      <c r="M2728" s="3" t="str">
        <f>HYPERLINK("..\..\Imagery\ScannedPhotos\2007\CG07-185.1.jpg")</f>
        <v>..\..\Imagery\ScannedPhotos\2007\CG07-185.1.jpg</v>
      </c>
    </row>
    <row r="2729" spans="1:13" x14ac:dyDescent="0.25">
      <c r="A2729" t="s">
        <v>6756</v>
      </c>
      <c r="B2729">
        <v>596704</v>
      </c>
      <c r="C2729">
        <v>5792713</v>
      </c>
      <c r="D2729">
        <v>21</v>
      </c>
      <c r="E2729" t="s">
        <v>15</v>
      </c>
      <c r="F2729" t="s">
        <v>6758</v>
      </c>
      <c r="G2729">
        <v>2</v>
      </c>
      <c r="K2729" t="s">
        <v>56</v>
      </c>
      <c r="L2729" t="s">
        <v>6759</v>
      </c>
      <c r="M2729" s="3" t="str">
        <f>HYPERLINK("..\..\Imagery\ScannedPhotos\2007\CG07-185.2.jpg")</f>
        <v>..\..\Imagery\ScannedPhotos\2007\CG07-185.2.jpg</v>
      </c>
    </row>
    <row r="2730" spans="1:13" x14ac:dyDescent="0.25">
      <c r="A2730" t="s">
        <v>3350</v>
      </c>
      <c r="B2730">
        <v>596598</v>
      </c>
      <c r="C2730">
        <v>5792798</v>
      </c>
      <c r="D2730">
        <v>21</v>
      </c>
      <c r="E2730" t="s">
        <v>15</v>
      </c>
      <c r="F2730" t="s">
        <v>6760</v>
      </c>
      <c r="G2730">
        <v>3</v>
      </c>
      <c r="K2730" t="s">
        <v>56</v>
      </c>
      <c r="L2730" t="s">
        <v>3352</v>
      </c>
      <c r="M2730" s="3" t="str">
        <f>HYPERLINK("..\..\Imagery\ScannedPhotos\2007\CG07-187.3.jpg")</f>
        <v>..\..\Imagery\ScannedPhotos\2007\CG07-187.3.jpg</v>
      </c>
    </row>
    <row r="2731" spans="1:13" x14ac:dyDescent="0.25">
      <c r="A2731" t="s">
        <v>6761</v>
      </c>
      <c r="B2731">
        <v>580504</v>
      </c>
      <c r="C2731">
        <v>5806433</v>
      </c>
      <c r="D2731">
        <v>21</v>
      </c>
      <c r="E2731" t="s">
        <v>15</v>
      </c>
      <c r="F2731" t="s">
        <v>6762</v>
      </c>
      <c r="G2731">
        <v>1</v>
      </c>
      <c r="K2731" t="s">
        <v>56</v>
      </c>
      <c r="L2731" t="s">
        <v>6763</v>
      </c>
      <c r="M2731" s="3" t="str">
        <f>HYPERLINK("..\..\Imagery\ScannedPhotos\2003\CG03-285.jpg")</f>
        <v>..\..\Imagery\ScannedPhotos\2003\CG03-285.jpg</v>
      </c>
    </row>
    <row r="2732" spans="1:13" x14ac:dyDescent="0.25">
      <c r="A2732" t="s">
        <v>6764</v>
      </c>
      <c r="B2732">
        <v>576277</v>
      </c>
      <c r="C2732">
        <v>5812664</v>
      </c>
      <c r="D2732">
        <v>21</v>
      </c>
      <c r="E2732" t="s">
        <v>15</v>
      </c>
      <c r="F2732" t="s">
        <v>6765</v>
      </c>
      <c r="G2732">
        <v>1</v>
      </c>
      <c r="H2732" t="s">
        <v>5918</v>
      </c>
      <c r="I2732" t="s">
        <v>418</v>
      </c>
      <c r="J2732" t="s">
        <v>1619</v>
      </c>
      <c r="K2732" t="s">
        <v>20</v>
      </c>
      <c r="L2732" t="s">
        <v>6766</v>
      </c>
      <c r="M2732" s="3" t="str">
        <f>HYPERLINK("..\..\Imagery\ScannedPhotos\1987\VN87-144.jpg")</f>
        <v>..\..\Imagery\ScannedPhotos\1987\VN87-144.jpg</v>
      </c>
    </row>
    <row r="2733" spans="1:13" x14ac:dyDescent="0.25">
      <c r="A2733" t="s">
        <v>6686</v>
      </c>
      <c r="B2733">
        <v>576291</v>
      </c>
      <c r="C2733">
        <v>5812114</v>
      </c>
      <c r="D2733">
        <v>21</v>
      </c>
      <c r="E2733" t="s">
        <v>15</v>
      </c>
      <c r="F2733" t="s">
        <v>6767</v>
      </c>
      <c r="G2733">
        <v>3</v>
      </c>
      <c r="H2733" t="s">
        <v>5918</v>
      </c>
      <c r="I2733" t="s">
        <v>647</v>
      </c>
      <c r="J2733" t="s">
        <v>1619</v>
      </c>
      <c r="K2733" t="s">
        <v>56</v>
      </c>
      <c r="L2733" t="s">
        <v>6690</v>
      </c>
      <c r="M2733" s="3" t="str">
        <f>HYPERLINK("..\..\Imagery\ScannedPhotos\1987\VN87-146.3.jpg")</f>
        <v>..\..\Imagery\ScannedPhotos\1987\VN87-146.3.jpg</v>
      </c>
    </row>
    <row r="2734" spans="1:13" x14ac:dyDescent="0.25">
      <c r="A2734" t="s">
        <v>6768</v>
      </c>
      <c r="B2734">
        <v>498792</v>
      </c>
      <c r="C2734">
        <v>5819047</v>
      </c>
      <c r="D2734">
        <v>21</v>
      </c>
      <c r="E2734" t="s">
        <v>15</v>
      </c>
      <c r="F2734" t="s">
        <v>6769</v>
      </c>
      <c r="G2734">
        <v>2</v>
      </c>
      <c r="H2734" t="s">
        <v>1044</v>
      </c>
      <c r="I2734" t="s">
        <v>41</v>
      </c>
      <c r="J2734" t="s">
        <v>42</v>
      </c>
      <c r="K2734" t="s">
        <v>56</v>
      </c>
      <c r="L2734" t="s">
        <v>322</v>
      </c>
      <c r="M2734" s="3" t="str">
        <f>HYPERLINK("..\..\Imagery\ScannedPhotos\1991\VN91-031.2.jpg")</f>
        <v>..\..\Imagery\ScannedPhotos\1991\VN91-031.2.jpg</v>
      </c>
    </row>
    <row r="2735" spans="1:13" x14ac:dyDescent="0.25">
      <c r="A2735" t="s">
        <v>6768</v>
      </c>
      <c r="B2735">
        <v>498792</v>
      </c>
      <c r="C2735">
        <v>5819047</v>
      </c>
      <c r="D2735">
        <v>21</v>
      </c>
      <c r="E2735" t="s">
        <v>15</v>
      </c>
      <c r="F2735" t="s">
        <v>6770</v>
      </c>
      <c r="G2735">
        <v>2</v>
      </c>
      <c r="H2735" t="s">
        <v>1044</v>
      </c>
      <c r="I2735" t="s">
        <v>74</v>
      </c>
      <c r="J2735" t="s">
        <v>42</v>
      </c>
      <c r="K2735" t="s">
        <v>20</v>
      </c>
      <c r="L2735" t="s">
        <v>772</v>
      </c>
      <c r="M2735" s="3" t="str">
        <f>HYPERLINK("..\..\Imagery\ScannedPhotos\1991\VN91-031.1.jpg")</f>
        <v>..\..\Imagery\ScannedPhotos\1991\VN91-031.1.jpg</v>
      </c>
    </row>
    <row r="2736" spans="1:13" x14ac:dyDescent="0.25">
      <c r="A2736" t="s">
        <v>3657</v>
      </c>
      <c r="B2736">
        <v>499535</v>
      </c>
      <c r="C2736">
        <v>5816882</v>
      </c>
      <c r="D2736">
        <v>21</v>
      </c>
      <c r="E2736" t="s">
        <v>15</v>
      </c>
      <c r="F2736" t="s">
        <v>6771</v>
      </c>
      <c r="G2736">
        <v>4</v>
      </c>
      <c r="H2736" t="s">
        <v>1044</v>
      </c>
      <c r="I2736" t="s">
        <v>222</v>
      </c>
      <c r="J2736" t="s">
        <v>42</v>
      </c>
      <c r="K2736" t="s">
        <v>20</v>
      </c>
      <c r="L2736" t="s">
        <v>6772</v>
      </c>
      <c r="M2736" s="3" t="str">
        <f>HYPERLINK("..\..\Imagery\ScannedPhotos\1991\VN91-034.2.jpg")</f>
        <v>..\..\Imagery\ScannedPhotos\1991\VN91-034.2.jpg</v>
      </c>
    </row>
    <row r="2737" spans="1:13" x14ac:dyDescent="0.25">
      <c r="A2737" t="s">
        <v>3657</v>
      </c>
      <c r="B2737">
        <v>499535</v>
      </c>
      <c r="C2737">
        <v>5816882</v>
      </c>
      <c r="D2737">
        <v>21</v>
      </c>
      <c r="E2737" t="s">
        <v>15</v>
      </c>
      <c r="F2737" t="s">
        <v>6773</v>
      </c>
      <c r="G2737">
        <v>4</v>
      </c>
      <c r="H2737" t="s">
        <v>1044</v>
      </c>
      <c r="I2737" t="s">
        <v>217</v>
      </c>
      <c r="J2737" t="s">
        <v>42</v>
      </c>
      <c r="K2737" t="s">
        <v>56</v>
      </c>
      <c r="L2737" t="s">
        <v>322</v>
      </c>
      <c r="M2737" s="3" t="str">
        <f>HYPERLINK("..\..\Imagery\ScannedPhotos\1991\VN91-034.1.jpg")</f>
        <v>..\..\Imagery\ScannedPhotos\1991\VN91-034.1.jpg</v>
      </c>
    </row>
    <row r="2738" spans="1:13" x14ac:dyDescent="0.25">
      <c r="A2738" t="s">
        <v>3657</v>
      </c>
      <c r="B2738">
        <v>499535</v>
      </c>
      <c r="C2738">
        <v>5816882</v>
      </c>
      <c r="D2738">
        <v>21</v>
      </c>
      <c r="E2738" t="s">
        <v>15</v>
      </c>
      <c r="F2738" t="s">
        <v>6774</v>
      </c>
      <c r="G2738">
        <v>4</v>
      </c>
      <c r="H2738" t="s">
        <v>1044</v>
      </c>
      <c r="I2738" t="s">
        <v>195</v>
      </c>
      <c r="J2738" t="s">
        <v>42</v>
      </c>
      <c r="K2738" t="s">
        <v>20</v>
      </c>
      <c r="L2738" t="s">
        <v>3659</v>
      </c>
      <c r="M2738" s="3" t="str">
        <f>HYPERLINK("..\..\Imagery\ScannedPhotos\1991\VN91-034.4.jpg")</f>
        <v>..\..\Imagery\ScannedPhotos\1991\VN91-034.4.jpg</v>
      </c>
    </row>
    <row r="2739" spans="1:13" x14ac:dyDescent="0.25">
      <c r="A2739" t="s">
        <v>6775</v>
      </c>
      <c r="B2739">
        <v>447658</v>
      </c>
      <c r="C2739">
        <v>5898785</v>
      </c>
      <c r="D2739">
        <v>21</v>
      </c>
      <c r="E2739" t="s">
        <v>15</v>
      </c>
      <c r="F2739" t="s">
        <v>6776</v>
      </c>
      <c r="G2739">
        <v>6</v>
      </c>
      <c r="H2739" t="s">
        <v>4524</v>
      </c>
      <c r="I2739" t="s">
        <v>294</v>
      </c>
      <c r="J2739" t="s">
        <v>3309</v>
      </c>
      <c r="K2739" t="s">
        <v>20</v>
      </c>
      <c r="L2739" t="s">
        <v>6777</v>
      </c>
      <c r="M2739" s="3" t="str">
        <f>HYPERLINK("..\..\Imagery\ScannedPhotos\1984\CG84-495.1.jpg")</f>
        <v>..\..\Imagery\ScannedPhotos\1984\CG84-495.1.jpg</v>
      </c>
    </row>
    <row r="2740" spans="1:13" x14ac:dyDescent="0.25">
      <c r="A2740" t="s">
        <v>6775</v>
      </c>
      <c r="B2740">
        <v>447658</v>
      </c>
      <c r="C2740">
        <v>5898785</v>
      </c>
      <c r="D2740">
        <v>21</v>
      </c>
      <c r="E2740" t="s">
        <v>15</v>
      </c>
      <c r="F2740" t="s">
        <v>6778</v>
      </c>
      <c r="G2740">
        <v>6</v>
      </c>
      <c r="H2740" t="s">
        <v>4524</v>
      </c>
      <c r="I2740" t="s">
        <v>281</v>
      </c>
      <c r="J2740" t="s">
        <v>3309</v>
      </c>
      <c r="K2740" t="s">
        <v>20</v>
      </c>
      <c r="L2740" t="s">
        <v>6779</v>
      </c>
      <c r="M2740" s="3" t="str">
        <f>HYPERLINK("..\..\Imagery\ScannedPhotos\1984\CG84-495.3.jpg")</f>
        <v>..\..\Imagery\ScannedPhotos\1984\CG84-495.3.jpg</v>
      </c>
    </row>
    <row r="2741" spans="1:13" x14ac:dyDescent="0.25">
      <c r="A2741" t="s">
        <v>6775</v>
      </c>
      <c r="B2741">
        <v>447658</v>
      </c>
      <c r="C2741">
        <v>5898785</v>
      </c>
      <c r="D2741">
        <v>21</v>
      </c>
      <c r="E2741" t="s">
        <v>15</v>
      </c>
      <c r="F2741" t="s">
        <v>6780</v>
      </c>
      <c r="G2741">
        <v>6</v>
      </c>
      <c r="H2741" t="s">
        <v>4524</v>
      </c>
      <c r="I2741" t="s">
        <v>79</v>
      </c>
      <c r="J2741" t="s">
        <v>3309</v>
      </c>
      <c r="K2741" t="s">
        <v>20</v>
      </c>
      <c r="L2741" t="s">
        <v>6781</v>
      </c>
      <c r="M2741" s="3" t="str">
        <f>HYPERLINK("..\..\Imagery\ScannedPhotos\1984\CG84-495.2.jpg")</f>
        <v>..\..\Imagery\ScannedPhotos\1984\CG84-495.2.jpg</v>
      </c>
    </row>
    <row r="2742" spans="1:13" x14ac:dyDescent="0.25">
      <c r="A2742" t="s">
        <v>6782</v>
      </c>
      <c r="B2742">
        <v>490661</v>
      </c>
      <c r="C2742">
        <v>6045313</v>
      </c>
      <c r="D2742">
        <v>21</v>
      </c>
      <c r="E2742" t="s">
        <v>15</v>
      </c>
      <c r="F2742" t="s">
        <v>6783</v>
      </c>
      <c r="G2742">
        <v>1</v>
      </c>
      <c r="H2742" t="s">
        <v>700</v>
      </c>
      <c r="I2742" t="s">
        <v>375</v>
      </c>
      <c r="J2742" t="s">
        <v>210</v>
      </c>
      <c r="K2742" t="s">
        <v>20</v>
      </c>
      <c r="L2742" t="s">
        <v>6784</v>
      </c>
      <c r="M2742" s="3" t="str">
        <f>HYPERLINK("..\..\Imagery\ScannedPhotos\1979\CG79-313.jpg")</f>
        <v>..\..\Imagery\ScannedPhotos\1979\CG79-313.jpg</v>
      </c>
    </row>
    <row r="2743" spans="1:13" x14ac:dyDescent="0.25">
      <c r="A2743" t="s">
        <v>4758</v>
      </c>
      <c r="B2743">
        <v>576642</v>
      </c>
      <c r="C2743">
        <v>5882462</v>
      </c>
      <c r="D2743">
        <v>21</v>
      </c>
      <c r="E2743" t="s">
        <v>15</v>
      </c>
      <c r="F2743" t="s">
        <v>6785</v>
      </c>
      <c r="G2743">
        <v>3</v>
      </c>
      <c r="H2743" t="s">
        <v>1507</v>
      </c>
      <c r="I2743" t="s">
        <v>209</v>
      </c>
      <c r="J2743" t="s">
        <v>1508</v>
      </c>
      <c r="K2743" t="s">
        <v>20</v>
      </c>
      <c r="L2743" t="s">
        <v>4760</v>
      </c>
      <c r="M2743" s="3" t="str">
        <f>HYPERLINK("..\..\Imagery\ScannedPhotos\1985\GM85-479.1.jpg")</f>
        <v>..\..\Imagery\ScannedPhotos\1985\GM85-479.1.jpg</v>
      </c>
    </row>
    <row r="2744" spans="1:13" x14ac:dyDescent="0.25">
      <c r="A2744" t="s">
        <v>2040</v>
      </c>
      <c r="B2744">
        <v>577163</v>
      </c>
      <c r="C2744">
        <v>5882399</v>
      </c>
      <c r="D2744">
        <v>21</v>
      </c>
      <c r="E2744" t="s">
        <v>15</v>
      </c>
      <c r="F2744" t="s">
        <v>6786</v>
      </c>
      <c r="G2744">
        <v>2</v>
      </c>
      <c r="H2744" t="s">
        <v>1507</v>
      </c>
      <c r="I2744" t="s">
        <v>222</v>
      </c>
      <c r="J2744" t="s">
        <v>1508</v>
      </c>
      <c r="K2744" t="s">
        <v>20</v>
      </c>
      <c r="L2744" t="s">
        <v>2042</v>
      </c>
      <c r="M2744" s="3" t="str">
        <f>HYPERLINK("..\..\Imagery\ScannedPhotos\1985\GM85-481.2.jpg")</f>
        <v>..\..\Imagery\ScannedPhotos\1985\GM85-481.2.jpg</v>
      </c>
    </row>
    <row r="2745" spans="1:13" x14ac:dyDescent="0.25">
      <c r="A2745" t="s">
        <v>6787</v>
      </c>
      <c r="B2745">
        <v>556421</v>
      </c>
      <c r="C2745">
        <v>5746037</v>
      </c>
      <c r="D2745">
        <v>21</v>
      </c>
      <c r="E2745" t="s">
        <v>15</v>
      </c>
      <c r="F2745" t="s">
        <v>6788</v>
      </c>
      <c r="G2745">
        <v>1</v>
      </c>
      <c r="H2745" t="s">
        <v>2816</v>
      </c>
      <c r="I2745" t="s">
        <v>114</v>
      </c>
      <c r="J2745" t="s">
        <v>1514</v>
      </c>
      <c r="K2745" t="s">
        <v>20</v>
      </c>
      <c r="L2745" t="s">
        <v>6789</v>
      </c>
      <c r="M2745" s="3" t="str">
        <f>HYPERLINK("..\..\Imagery\ScannedPhotos\1993\DL93-328.jpg")</f>
        <v>..\..\Imagery\ScannedPhotos\1993\DL93-328.jpg</v>
      </c>
    </row>
    <row r="2746" spans="1:13" x14ac:dyDescent="0.25">
      <c r="A2746" t="s">
        <v>5075</v>
      </c>
      <c r="B2746">
        <v>487325</v>
      </c>
      <c r="C2746">
        <v>5828150</v>
      </c>
      <c r="D2746">
        <v>21</v>
      </c>
      <c r="E2746" t="s">
        <v>15</v>
      </c>
      <c r="F2746" t="s">
        <v>6790</v>
      </c>
      <c r="G2746">
        <v>2</v>
      </c>
      <c r="H2746" t="s">
        <v>2789</v>
      </c>
      <c r="I2746" t="s">
        <v>94</v>
      </c>
      <c r="J2746" t="s">
        <v>413</v>
      </c>
      <c r="K2746" t="s">
        <v>56</v>
      </c>
      <c r="L2746" t="s">
        <v>5077</v>
      </c>
      <c r="M2746" s="3" t="str">
        <f>HYPERLINK("..\..\Imagery\ScannedPhotos\1991\VN91-131.2.jpg")</f>
        <v>..\..\Imagery\ScannedPhotos\1991\VN91-131.2.jpg</v>
      </c>
    </row>
    <row r="2747" spans="1:13" x14ac:dyDescent="0.25">
      <c r="A2747" t="s">
        <v>6791</v>
      </c>
      <c r="B2747">
        <v>398014</v>
      </c>
      <c r="C2747">
        <v>5991848</v>
      </c>
      <c r="D2747">
        <v>21</v>
      </c>
      <c r="E2747" t="s">
        <v>15</v>
      </c>
      <c r="F2747" t="s">
        <v>6792</v>
      </c>
      <c r="G2747">
        <v>1</v>
      </c>
      <c r="H2747" t="s">
        <v>1133</v>
      </c>
      <c r="I2747" t="s">
        <v>386</v>
      </c>
      <c r="J2747" t="s">
        <v>623</v>
      </c>
      <c r="K2747" t="s">
        <v>20</v>
      </c>
      <c r="L2747" t="s">
        <v>6793</v>
      </c>
      <c r="M2747" s="3" t="str">
        <f>HYPERLINK("..\..\Imagery\ScannedPhotos\1980\CG80-186.jpg")</f>
        <v>..\..\Imagery\ScannedPhotos\1980\CG80-186.jpg</v>
      </c>
    </row>
    <row r="2748" spans="1:13" x14ac:dyDescent="0.25">
      <c r="A2748" t="s">
        <v>6794</v>
      </c>
      <c r="B2748">
        <v>366490</v>
      </c>
      <c r="C2748">
        <v>5790280</v>
      </c>
      <c r="D2748">
        <v>21</v>
      </c>
      <c r="E2748" t="s">
        <v>15</v>
      </c>
      <c r="F2748" t="s">
        <v>6795</v>
      </c>
      <c r="G2748">
        <v>1</v>
      </c>
      <c r="H2748" t="s">
        <v>6227</v>
      </c>
      <c r="I2748" t="s">
        <v>35</v>
      </c>
      <c r="J2748" t="s">
        <v>6228</v>
      </c>
      <c r="K2748" t="s">
        <v>56</v>
      </c>
      <c r="L2748" t="s">
        <v>6457</v>
      </c>
      <c r="M2748" s="3" t="str">
        <f>HYPERLINK("..\..\Imagery\ScannedPhotos\1999\CG99-296.jpg")</f>
        <v>..\..\Imagery\ScannedPhotos\1999\CG99-296.jpg</v>
      </c>
    </row>
    <row r="2749" spans="1:13" x14ac:dyDescent="0.25">
      <c r="A2749" t="s">
        <v>6796</v>
      </c>
      <c r="B2749">
        <v>377986</v>
      </c>
      <c r="C2749">
        <v>5765754</v>
      </c>
      <c r="D2749">
        <v>21</v>
      </c>
      <c r="E2749" t="s">
        <v>15</v>
      </c>
      <c r="F2749" t="s">
        <v>6797</v>
      </c>
      <c r="G2749">
        <v>1</v>
      </c>
      <c r="H2749" t="s">
        <v>6227</v>
      </c>
      <c r="I2749" t="s">
        <v>69</v>
      </c>
      <c r="J2749" t="s">
        <v>6228</v>
      </c>
      <c r="K2749" t="s">
        <v>20</v>
      </c>
      <c r="L2749" t="s">
        <v>6798</v>
      </c>
      <c r="M2749" s="3" t="str">
        <f>HYPERLINK("..\..\Imagery\ScannedPhotos\1999\CG99-300.jpg")</f>
        <v>..\..\Imagery\ScannedPhotos\1999\CG99-300.jpg</v>
      </c>
    </row>
    <row r="2750" spans="1:13" x14ac:dyDescent="0.25">
      <c r="A2750" t="s">
        <v>6799</v>
      </c>
      <c r="B2750">
        <v>579802</v>
      </c>
      <c r="C2750">
        <v>5905685</v>
      </c>
      <c r="D2750">
        <v>21</v>
      </c>
      <c r="E2750" t="s">
        <v>15</v>
      </c>
      <c r="F2750" t="s">
        <v>6800</v>
      </c>
      <c r="G2750">
        <v>2</v>
      </c>
      <c r="H2750" t="s">
        <v>1582</v>
      </c>
      <c r="I2750" t="s">
        <v>647</v>
      </c>
      <c r="J2750" t="s">
        <v>1583</v>
      </c>
      <c r="K2750" t="s">
        <v>20</v>
      </c>
      <c r="L2750" t="s">
        <v>6801</v>
      </c>
      <c r="M2750" s="3" t="str">
        <f>HYPERLINK("..\..\Imagery\ScannedPhotos\1985\GM85-675.1.jpg")</f>
        <v>..\..\Imagery\ScannedPhotos\1985\GM85-675.1.jpg</v>
      </c>
    </row>
    <row r="2751" spans="1:13" x14ac:dyDescent="0.25">
      <c r="A2751" t="s">
        <v>6799</v>
      </c>
      <c r="B2751">
        <v>579802</v>
      </c>
      <c r="C2751">
        <v>5905685</v>
      </c>
      <c r="D2751">
        <v>21</v>
      </c>
      <c r="E2751" t="s">
        <v>15</v>
      </c>
      <c r="F2751" t="s">
        <v>6802</v>
      </c>
      <c r="G2751">
        <v>2</v>
      </c>
      <c r="H2751" t="s">
        <v>1582</v>
      </c>
      <c r="I2751" t="s">
        <v>30</v>
      </c>
      <c r="J2751" t="s">
        <v>1583</v>
      </c>
      <c r="K2751" t="s">
        <v>20</v>
      </c>
      <c r="L2751" t="s">
        <v>6801</v>
      </c>
      <c r="M2751" s="3" t="str">
        <f>HYPERLINK("..\..\Imagery\ScannedPhotos\1985\GM85-675.2.jpg")</f>
        <v>..\..\Imagery\ScannedPhotos\1985\GM85-675.2.jpg</v>
      </c>
    </row>
    <row r="2752" spans="1:13" x14ac:dyDescent="0.25">
      <c r="A2752" t="s">
        <v>6803</v>
      </c>
      <c r="B2752">
        <v>579760</v>
      </c>
      <c r="C2752">
        <v>5905316</v>
      </c>
      <c r="D2752">
        <v>21</v>
      </c>
      <c r="E2752" t="s">
        <v>15</v>
      </c>
      <c r="F2752" t="s">
        <v>6804</v>
      </c>
      <c r="G2752">
        <v>3</v>
      </c>
      <c r="H2752" t="s">
        <v>1582</v>
      </c>
      <c r="I2752" t="s">
        <v>119</v>
      </c>
      <c r="J2752" t="s">
        <v>1583</v>
      </c>
      <c r="K2752" t="s">
        <v>20</v>
      </c>
      <c r="L2752" t="s">
        <v>6805</v>
      </c>
      <c r="M2752" s="3" t="str">
        <f>HYPERLINK("..\..\Imagery\ScannedPhotos\1985\GM85-676.2.jpg")</f>
        <v>..\..\Imagery\ScannedPhotos\1985\GM85-676.2.jpg</v>
      </c>
    </row>
    <row r="2753" spans="1:13" x14ac:dyDescent="0.25">
      <c r="A2753" t="s">
        <v>6803</v>
      </c>
      <c r="B2753">
        <v>579760</v>
      </c>
      <c r="C2753">
        <v>5905316</v>
      </c>
      <c r="D2753">
        <v>21</v>
      </c>
      <c r="E2753" t="s">
        <v>15</v>
      </c>
      <c r="F2753" t="s">
        <v>6806</v>
      </c>
      <c r="G2753">
        <v>3</v>
      </c>
      <c r="H2753" t="s">
        <v>1582</v>
      </c>
      <c r="I2753" t="s">
        <v>114</v>
      </c>
      <c r="J2753" t="s">
        <v>1583</v>
      </c>
      <c r="K2753" t="s">
        <v>20</v>
      </c>
      <c r="L2753" t="s">
        <v>6805</v>
      </c>
      <c r="M2753" s="3" t="str">
        <f>HYPERLINK("..\..\Imagery\ScannedPhotos\1985\GM85-676.1.jpg")</f>
        <v>..\..\Imagery\ScannedPhotos\1985\GM85-676.1.jpg</v>
      </c>
    </row>
    <row r="2754" spans="1:13" x14ac:dyDescent="0.25">
      <c r="A2754" t="s">
        <v>6803</v>
      </c>
      <c r="B2754">
        <v>579760</v>
      </c>
      <c r="C2754">
        <v>5905316</v>
      </c>
      <c r="D2754">
        <v>21</v>
      </c>
      <c r="E2754" t="s">
        <v>15</v>
      </c>
      <c r="F2754" t="s">
        <v>6807</v>
      </c>
      <c r="G2754">
        <v>3</v>
      </c>
      <c r="H2754" t="s">
        <v>1582</v>
      </c>
      <c r="I2754" t="s">
        <v>122</v>
      </c>
      <c r="J2754" t="s">
        <v>1583</v>
      </c>
      <c r="K2754" t="s">
        <v>20</v>
      </c>
      <c r="L2754" t="s">
        <v>6801</v>
      </c>
      <c r="M2754" s="3" t="str">
        <f>HYPERLINK("..\..\Imagery\ScannedPhotos\1985\GM85-676.3.jpg")</f>
        <v>..\..\Imagery\ScannedPhotos\1985\GM85-676.3.jpg</v>
      </c>
    </row>
    <row r="2755" spans="1:13" x14ac:dyDescent="0.25">
      <c r="A2755" t="s">
        <v>6808</v>
      </c>
      <c r="B2755">
        <v>584724</v>
      </c>
      <c r="C2755">
        <v>5901114</v>
      </c>
      <c r="D2755">
        <v>21</v>
      </c>
      <c r="E2755" t="s">
        <v>15</v>
      </c>
      <c r="F2755" t="s">
        <v>6809</v>
      </c>
      <c r="G2755">
        <v>5</v>
      </c>
      <c r="H2755" t="s">
        <v>1582</v>
      </c>
      <c r="I2755" t="s">
        <v>143</v>
      </c>
      <c r="J2755" t="s">
        <v>1583</v>
      </c>
      <c r="K2755" t="s">
        <v>20</v>
      </c>
      <c r="L2755" t="s">
        <v>6810</v>
      </c>
      <c r="M2755" s="3" t="str">
        <f>HYPERLINK("..\..\Imagery\ScannedPhotos\1985\GM85-681.5.jpg")</f>
        <v>..\..\Imagery\ScannedPhotos\1985\GM85-681.5.jpg</v>
      </c>
    </row>
    <row r="2756" spans="1:13" x14ac:dyDescent="0.25">
      <c r="A2756" t="s">
        <v>6808</v>
      </c>
      <c r="B2756">
        <v>584724</v>
      </c>
      <c r="C2756">
        <v>5901114</v>
      </c>
      <c r="D2756">
        <v>21</v>
      </c>
      <c r="E2756" t="s">
        <v>15</v>
      </c>
      <c r="F2756" t="s">
        <v>6811</v>
      </c>
      <c r="G2756">
        <v>5</v>
      </c>
      <c r="H2756" t="s">
        <v>1582</v>
      </c>
      <c r="I2756" t="s">
        <v>108</v>
      </c>
      <c r="J2756" t="s">
        <v>1583</v>
      </c>
      <c r="K2756" t="s">
        <v>20</v>
      </c>
      <c r="L2756" t="s">
        <v>6812</v>
      </c>
      <c r="M2756" s="3" t="str">
        <f>HYPERLINK("..\..\Imagery\ScannedPhotos\1985\GM85-681.2.jpg")</f>
        <v>..\..\Imagery\ScannedPhotos\1985\GM85-681.2.jpg</v>
      </c>
    </row>
    <row r="2757" spans="1:13" x14ac:dyDescent="0.25">
      <c r="A2757" t="s">
        <v>6808</v>
      </c>
      <c r="B2757">
        <v>584724</v>
      </c>
      <c r="C2757">
        <v>5901114</v>
      </c>
      <c r="D2757">
        <v>21</v>
      </c>
      <c r="E2757" t="s">
        <v>15</v>
      </c>
      <c r="F2757" t="s">
        <v>6813</v>
      </c>
      <c r="G2757">
        <v>5</v>
      </c>
      <c r="H2757" t="s">
        <v>1582</v>
      </c>
      <c r="I2757" t="s">
        <v>129</v>
      </c>
      <c r="J2757" t="s">
        <v>1583</v>
      </c>
      <c r="K2757" t="s">
        <v>20</v>
      </c>
      <c r="L2757" t="s">
        <v>6810</v>
      </c>
      <c r="M2757" s="3" t="str">
        <f>HYPERLINK("..\..\Imagery\ScannedPhotos\1985\GM85-681.4.jpg")</f>
        <v>..\..\Imagery\ScannedPhotos\1985\GM85-681.4.jpg</v>
      </c>
    </row>
    <row r="2758" spans="1:13" x14ac:dyDescent="0.25">
      <c r="A2758" t="s">
        <v>1165</v>
      </c>
      <c r="B2758">
        <v>452759</v>
      </c>
      <c r="C2758">
        <v>5776015</v>
      </c>
      <c r="D2758">
        <v>21</v>
      </c>
      <c r="E2758" t="s">
        <v>15</v>
      </c>
      <c r="F2758" t="s">
        <v>6814</v>
      </c>
      <c r="G2758">
        <v>2</v>
      </c>
      <c r="H2758" t="s">
        <v>1163</v>
      </c>
      <c r="I2758" t="s">
        <v>114</v>
      </c>
      <c r="J2758" t="s">
        <v>814</v>
      </c>
      <c r="K2758" t="s">
        <v>20</v>
      </c>
      <c r="L2758" t="s">
        <v>6815</v>
      </c>
      <c r="M2758" s="3" t="str">
        <f>HYPERLINK("..\..\Imagery\ScannedPhotos\1992\VN92-153.1.jpg")</f>
        <v>..\..\Imagery\ScannedPhotos\1992\VN92-153.1.jpg</v>
      </c>
    </row>
    <row r="2759" spans="1:13" x14ac:dyDescent="0.25">
      <c r="A2759" t="s">
        <v>6816</v>
      </c>
      <c r="B2759">
        <v>452605</v>
      </c>
      <c r="C2759">
        <v>5775515</v>
      </c>
      <c r="D2759">
        <v>21</v>
      </c>
      <c r="E2759" t="s">
        <v>15</v>
      </c>
      <c r="F2759" t="s">
        <v>6817</v>
      </c>
      <c r="G2759">
        <v>5</v>
      </c>
      <c r="H2759" t="s">
        <v>1163</v>
      </c>
      <c r="I2759" t="s">
        <v>126</v>
      </c>
      <c r="J2759" t="s">
        <v>814</v>
      </c>
      <c r="K2759" t="s">
        <v>56</v>
      </c>
      <c r="L2759" t="s">
        <v>6818</v>
      </c>
      <c r="M2759" s="3" t="str">
        <f>HYPERLINK("..\..\Imagery\ScannedPhotos\1992\VN92-154.2.jpg")</f>
        <v>..\..\Imagery\ScannedPhotos\1992\VN92-154.2.jpg</v>
      </c>
    </row>
    <row r="2760" spans="1:13" x14ac:dyDescent="0.25">
      <c r="A2760" t="s">
        <v>6816</v>
      </c>
      <c r="B2760">
        <v>452605</v>
      </c>
      <c r="C2760">
        <v>5775515</v>
      </c>
      <c r="D2760">
        <v>21</v>
      </c>
      <c r="E2760" t="s">
        <v>15</v>
      </c>
      <c r="F2760" t="s">
        <v>6819</v>
      </c>
      <c r="G2760">
        <v>5</v>
      </c>
      <c r="H2760" t="s">
        <v>4076</v>
      </c>
      <c r="I2760" t="s">
        <v>79</v>
      </c>
      <c r="J2760" t="s">
        <v>905</v>
      </c>
      <c r="K2760" t="s">
        <v>20</v>
      </c>
      <c r="L2760" t="s">
        <v>6820</v>
      </c>
      <c r="M2760" s="3" t="str">
        <f>HYPERLINK("..\..\Imagery\ScannedPhotos\1992\VN92-154.5.jpg")</f>
        <v>..\..\Imagery\ScannedPhotos\1992\VN92-154.5.jpg</v>
      </c>
    </row>
    <row r="2761" spans="1:13" x14ac:dyDescent="0.25">
      <c r="A2761" t="s">
        <v>6816</v>
      </c>
      <c r="B2761">
        <v>452605</v>
      </c>
      <c r="C2761">
        <v>5775515</v>
      </c>
      <c r="D2761">
        <v>21</v>
      </c>
      <c r="E2761" t="s">
        <v>15</v>
      </c>
      <c r="F2761" t="s">
        <v>6821</v>
      </c>
      <c r="G2761">
        <v>5</v>
      </c>
      <c r="H2761" t="s">
        <v>1163</v>
      </c>
      <c r="I2761" t="s">
        <v>122</v>
      </c>
      <c r="J2761" t="s">
        <v>814</v>
      </c>
      <c r="K2761" t="s">
        <v>20</v>
      </c>
      <c r="L2761" t="s">
        <v>6822</v>
      </c>
      <c r="M2761" s="3" t="str">
        <f>HYPERLINK("..\..\Imagery\ScannedPhotos\1992\VN92-154.1.jpg")</f>
        <v>..\..\Imagery\ScannedPhotos\1992\VN92-154.1.jpg</v>
      </c>
    </row>
    <row r="2762" spans="1:13" x14ac:dyDescent="0.25">
      <c r="A2762" t="s">
        <v>6816</v>
      </c>
      <c r="B2762">
        <v>452605</v>
      </c>
      <c r="C2762">
        <v>5775515</v>
      </c>
      <c r="D2762">
        <v>21</v>
      </c>
      <c r="E2762" t="s">
        <v>15</v>
      </c>
      <c r="F2762" t="s">
        <v>6823</v>
      </c>
      <c r="G2762">
        <v>5</v>
      </c>
      <c r="H2762" t="s">
        <v>1163</v>
      </c>
      <c r="I2762" t="s">
        <v>132</v>
      </c>
      <c r="J2762" t="s">
        <v>814</v>
      </c>
      <c r="K2762" t="s">
        <v>20</v>
      </c>
      <c r="L2762" t="s">
        <v>6824</v>
      </c>
      <c r="M2762" s="3" t="str">
        <f>HYPERLINK("..\..\Imagery\ScannedPhotos\1992\VN92-154.4.jpg")</f>
        <v>..\..\Imagery\ScannedPhotos\1992\VN92-154.4.jpg</v>
      </c>
    </row>
    <row r="2763" spans="1:13" x14ac:dyDescent="0.25">
      <c r="A2763" t="s">
        <v>6816</v>
      </c>
      <c r="B2763">
        <v>452605</v>
      </c>
      <c r="C2763">
        <v>5775515</v>
      </c>
      <c r="D2763">
        <v>21</v>
      </c>
      <c r="E2763" t="s">
        <v>15</v>
      </c>
      <c r="F2763" t="s">
        <v>6825</v>
      </c>
      <c r="G2763">
        <v>5</v>
      </c>
      <c r="H2763" t="s">
        <v>1163</v>
      </c>
      <c r="I2763" t="s">
        <v>108</v>
      </c>
      <c r="J2763" t="s">
        <v>814</v>
      </c>
      <c r="K2763" t="s">
        <v>56</v>
      </c>
      <c r="L2763" t="s">
        <v>6826</v>
      </c>
      <c r="M2763" s="3" t="str">
        <f>HYPERLINK("..\..\Imagery\ScannedPhotos\1992\VN92-154.3.jpg")</f>
        <v>..\..\Imagery\ScannedPhotos\1992\VN92-154.3.jpg</v>
      </c>
    </row>
    <row r="2764" spans="1:13" x14ac:dyDescent="0.25">
      <c r="A2764" t="s">
        <v>3746</v>
      </c>
      <c r="B2764">
        <v>566103</v>
      </c>
      <c r="C2764">
        <v>5837012</v>
      </c>
      <c r="D2764">
        <v>21</v>
      </c>
      <c r="E2764" t="s">
        <v>15</v>
      </c>
      <c r="F2764" t="s">
        <v>6827</v>
      </c>
      <c r="G2764">
        <v>13</v>
      </c>
      <c r="K2764" t="s">
        <v>20</v>
      </c>
      <c r="L2764" t="s">
        <v>3755</v>
      </c>
      <c r="M2764" s="3" t="str">
        <f>HYPERLINK("..\..\Imagery\ScannedPhotos\2004\CG04-106.11.jpg")</f>
        <v>..\..\Imagery\ScannedPhotos\2004\CG04-106.11.jpg</v>
      </c>
    </row>
    <row r="2765" spans="1:13" x14ac:dyDescent="0.25">
      <c r="A2765" t="s">
        <v>6828</v>
      </c>
      <c r="B2765">
        <v>314197</v>
      </c>
      <c r="C2765">
        <v>6013334</v>
      </c>
      <c r="D2765">
        <v>21</v>
      </c>
      <c r="E2765" t="s">
        <v>15</v>
      </c>
      <c r="F2765" t="s">
        <v>6829</v>
      </c>
      <c r="G2765">
        <v>3</v>
      </c>
      <c r="H2765" t="s">
        <v>2431</v>
      </c>
      <c r="I2765" t="s">
        <v>360</v>
      </c>
      <c r="J2765" t="s">
        <v>269</v>
      </c>
      <c r="K2765" t="s">
        <v>20</v>
      </c>
      <c r="L2765" t="s">
        <v>6830</v>
      </c>
      <c r="M2765" s="3" t="str">
        <f>HYPERLINK("..\..\Imagery\ScannedPhotos\1983\CG83-277.1.jpg")</f>
        <v>..\..\Imagery\ScannedPhotos\1983\CG83-277.1.jpg</v>
      </c>
    </row>
    <row r="2766" spans="1:13" x14ac:dyDescent="0.25">
      <c r="A2766" t="s">
        <v>6828</v>
      </c>
      <c r="B2766">
        <v>314197</v>
      </c>
      <c r="C2766">
        <v>6013334</v>
      </c>
      <c r="D2766">
        <v>21</v>
      </c>
      <c r="E2766" t="s">
        <v>15</v>
      </c>
      <c r="F2766" t="s">
        <v>6831</v>
      </c>
      <c r="G2766">
        <v>3</v>
      </c>
      <c r="H2766" t="s">
        <v>2431</v>
      </c>
      <c r="I2766" t="s">
        <v>647</v>
      </c>
      <c r="J2766" t="s">
        <v>269</v>
      </c>
      <c r="K2766" t="s">
        <v>20</v>
      </c>
      <c r="L2766" t="s">
        <v>6830</v>
      </c>
      <c r="M2766" s="3" t="str">
        <f>HYPERLINK("..\..\Imagery\ScannedPhotos\1983\CG83-277.2.jpg")</f>
        <v>..\..\Imagery\ScannedPhotos\1983\CG83-277.2.jpg</v>
      </c>
    </row>
    <row r="2767" spans="1:13" x14ac:dyDescent="0.25">
      <c r="A2767" t="s">
        <v>3160</v>
      </c>
      <c r="B2767">
        <v>561592</v>
      </c>
      <c r="C2767">
        <v>5848575</v>
      </c>
      <c r="D2767">
        <v>21</v>
      </c>
      <c r="E2767" t="s">
        <v>15</v>
      </c>
      <c r="F2767" t="s">
        <v>6832</v>
      </c>
      <c r="G2767">
        <v>4</v>
      </c>
      <c r="H2767" t="s">
        <v>3162</v>
      </c>
      <c r="I2767" t="s">
        <v>304</v>
      </c>
      <c r="J2767" t="s">
        <v>3163</v>
      </c>
      <c r="K2767" t="s">
        <v>20</v>
      </c>
      <c r="L2767" t="s">
        <v>6833</v>
      </c>
      <c r="M2767" s="3" t="str">
        <f>HYPERLINK("..\..\Imagery\ScannedPhotos\1986\SN86-345.2.jpg")</f>
        <v>..\..\Imagery\ScannedPhotos\1986\SN86-345.2.jpg</v>
      </c>
    </row>
    <row r="2768" spans="1:13" x14ac:dyDescent="0.25">
      <c r="A2768" t="s">
        <v>6834</v>
      </c>
      <c r="B2768">
        <v>579867</v>
      </c>
      <c r="C2768">
        <v>5854505</v>
      </c>
      <c r="D2768">
        <v>21</v>
      </c>
      <c r="E2768" t="s">
        <v>15</v>
      </c>
      <c r="F2768" t="s">
        <v>6835</v>
      </c>
      <c r="G2768">
        <v>1</v>
      </c>
      <c r="H2768" t="s">
        <v>3162</v>
      </c>
      <c r="I2768" t="s">
        <v>360</v>
      </c>
      <c r="J2768" t="s">
        <v>3163</v>
      </c>
      <c r="K2768" t="s">
        <v>20</v>
      </c>
      <c r="L2768" t="s">
        <v>642</v>
      </c>
      <c r="M2768" s="3" t="str">
        <f>HYPERLINK("..\..\Imagery\ScannedPhotos\1986\SN86-346.jpg")</f>
        <v>..\..\Imagery\ScannedPhotos\1986\SN86-346.jpg</v>
      </c>
    </row>
    <row r="2769" spans="1:13" x14ac:dyDescent="0.25">
      <c r="A2769" t="s">
        <v>840</v>
      </c>
      <c r="B2769">
        <v>577126</v>
      </c>
      <c r="C2769">
        <v>5905960</v>
      </c>
      <c r="D2769">
        <v>21</v>
      </c>
      <c r="E2769" t="s">
        <v>15</v>
      </c>
      <c r="F2769" t="s">
        <v>6836</v>
      </c>
      <c r="G2769">
        <v>3</v>
      </c>
      <c r="H2769" t="s">
        <v>136</v>
      </c>
      <c r="I2769" t="s">
        <v>119</v>
      </c>
      <c r="J2769" t="s">
        <v>138</v>
      </c>
      <c r="K2769" t="s">
        <v>20</v>
      </c>
      <c r="L2769" t="s">
        <v>842</v>
      </c>
      <c r="M2769" s="3" t="str">
        <f>HYPERLINK("..\..\Imagery\ScannedPhotos\1985\GM85-550.1.jpg")</f>
        <v>..\..\Imagery\ScannedPhotos\1985\GM85-550.1.jpg</v>
      </c>
    </row>
    <row r="2770" spans="1:13" x14ac:dyDescent="0.25">
      <c r="A2770" t="s">
        <v>840</v>
      </c>
      <c r="B2770">
        <v>577126</v>
      </c>
      <c r="C2770">
        <v>5905960</v>
      </c>
      <c r="D2770">
        <v>21</v>
      </c>
      <c r="E2770" t="s">
        <v>15</v>
      </c>
      <c r="F2770" t="s">
        <v>6837</v>
      </c>
      <c r="G2770">
        <v>3</v>
      </c>
      <c r="H2770" t="s">
        <v>136</v>
      </c>
      <c r="I2770" t="s">
        <v>126</v>
      </c>
      <c r="J2770" t="s">
        <v>138</v>
      </c>
      <c r="K2770" t="s">
        <v>20</v>
      </c>
      <c r="L2770" t="s">
        <v>842</v>
      </c>
      <c r="M2770" s="3" t="str">
        <f>HYPERLINK("..\..\Imagery\ScannedPhotos\1985\GM85-550.3.jpg")</f>
        <v>..\..\Imagery\ScannedPhotos\1985\GM85-550.3.jpg</v>
      </c>
    </row>
    <row r="2771" spans="1:13" x14ac:dyDescent="0.25">
      <c r="A2771" t="s">
        <v>6838</v>
      </c>
      <c r="B2771">
        <v>576842</v>
      </c>
      <c r="C2771">
        <v>5905902</v>
      </c>
      <c r="D2771">
        <v>21</v>
      </c>
      <c r="E2771" t="s">
        <v>15</v>
      </c>
      <c r="F2771" t="s">
        <v>6839</v>
      </c>
      <c r="G2771">
        <v>2</v>
      </c>
      <c r="H2771" t="s">
        <v>136</v>
      </c>
      <c r="I2771" t="s">
        <v>132</v>
      </c>
      <c r="J2771" t="s">
        <v>138</v>
      </c>
      <c r="K2771" t="s">
        <v>20</v>
      </c>
      <c r="L2771" t="s">
        <v>6840</v>
      </c>
      <c r="M2771" s="3" t="str">
        <f>HYPERLINK("..\..\Imagery\ScannedPhotos\1985\GM85-551.2.jpg")</f>
        <v>..\..\Imagery\ScannedPhotos\1985\GM85-551.2.jpg</v>
      </c>
    </row>
    <row r="2772" spans="1:13" x14ac:dyDescent="0.25">
      <c r="A2772" t="s">
        <v>6838</v>
      </c>
      <c r="B2772">
        <v>576842</v>
      </c>
      <c r="C2772">
        <v>5905902</v>
      </c>
      <c r="D2772">
        <v>21</v>
      </c>
      <c r="E2772" t="s">
        <v>15</v>
      </c>
      <c r="F2772" t="s">
        <v>6841</v>
      </c>
      <c r="G2772">
        <v>2</v>
      </c>
      <c r="H2772" t="s">
        <v>136</v>
      </c>
      <c r="I2772" t="s">
        <v>108</v>
      </c>
      <c r="J2772" t="s">
        <v>138</v>
      </c>
      <c r="K2772" t="s">
        <v>20</v>
      </c>
      <c r="L2772" t="s">
        <v>6840</v>
      </c>
      <c r="M2772" s="3" t="str">
        <f>HYPERLINK("..\..\Imagery\ScannedPhotos\1985\GM85-551.1.jpg")</f>
        <v>..\..\Imagery\ScannedPhotos\1985\GM85-551.1.jpg</v>
      </c>
    </row>
    <row r="2773" spans="1:13" x14ac:dyDescent="0.25">
      <c r="A2773" t="s">
        <v>6842</v>
      </c>
      <c r="B2773">
        <v>584230</v>
      </c>
      <c r="C2773">
        <v>5895992</v>
      </c>
      <c r="D2773">
        <v>21</v>
      </c>
      <c r="E2773" t="s">
        <v>15</v>
      </c>
      <c r="F2773" t="s">
        <v>6843</v>
      </c>
      <c r="G2773">
        <v>3</v>
      </c>
      <c r="H2773" t="s">
        <v>136</v>
      </c>
      <c r="I2773" t="s">
        <v>129</v>
      </c>
      <c r="J2773" t="s">
        <v>138</v>
      </c>
      <c r="K2773" t="s">
        <v>20</v>
      </c>
      <c r="L2773" t="s">
        <v>6844</v>
      </c>
      <c r="M2773" s="3" t="str">
        <f>HYPERLINK("..\..\Imagery\ScannedPhotos\1985\GM85-569.1.jpg")</f>
        <v>..\..\Imagery\ScannedPhotos\1985\GM85-569.1.jpg</v>
      </c>
    </row>
    <row r="2774" spans="1:13" x14ac:dyDescent="0.25">
      <c r="A2774" t="s">
        <v>6842</v>
      </c>
      <c r="B2774">
        <v>584230</v>
      </c>
      <c r="C2774">
        <v>5895992</v>
      </c>
      <c r="D2774">
        <v>21</v>
      </c>
      <c r="E2774" t="s">
        <v>15</v>
      </c>
      <c r="F2774" t="s">
        <v>6845</v>
      </c>
      <c r="G2774">
        <v>3</v>
      </c>
      <c r="H2774" t="s">
        <v>136</v>
      </c>
      <c r="I2774" t="s">
        <v>143</v>
      </c>
      <c r="J2774" t="s">
        <v>138</v>
      </c>
      <c r="K2774" t="s">
        <v>20</v>
      </c>
      <c r="L2774" t="s">
        <v>6844</v>
      </c>
      <c r="M2774" s="3" t="str">
        <f>HYPERLINK("..\..\Imagery\ScannedPhotos\1985\GM85-569.2.jpg")</f>
        <v>..\..\Imagery\ScannedPhotos\1985\GM85-569.2.jpg</v>
      </c>
    </row>
    <row r="2775" spans="1:13" x14ac:dyDescent="0.25">
      <c r="A2775" t="s">
        <v>6842</v>
      </c>
      <c r="B2775">
        <v>584230</v>
      </c>
      <c r="C2775">
        <v>5895992</v>
      </c>
      <c r="D2775">
        <v>21</v>
      </c>
      <c r="E2775" t="s">
        <v>15</v>
      </c>
      <c r="F2775" t="s">
        <v>6846</v>
      </c>
      <c r="G2775">
        <v>3</v>
      </c>
      <c r="H2775" t="s">
        <v>136</v>
      </c>
      <c r="I2775" t="s">
        <v>147</v>
      </c>
      <c r="J2775" t="s">
        <v>138</v>
      </c>
      <c r="K2775" t="s">
        <v>20</v>
      </c>
      <c r="L2775" t="s">
        <v>6844</v>
      </c>
      <c r="M2775" s="3" t="str">
        <f>HYPERLINK("..\..\Imagery\ScannedPhotos\1985\GM85-569.3.jpg")</f>
        <v>..\..\Imagery\ScannedPhotos\1985\GM85-569.3.jpg</v>
      </c>
    </row>
    <row r="2776" spans="1:13" x14ac:dyDescent="0.25">
      <c r="A2776" t="s">
        <v>6847</v>
      </c>
      <c r="B2776">
        <v>584559</v>
      </c>
      <c r="C2776">
        <v>5897055</v>
      </c>
      <c r="D2776">
        <v>21</v>
      </c>
      <c r="E2776" t="s">
        <v>15</v>
      </c>
      <c r="F2776" t="s">
        <v>6848</v>
      </c>
      <c r="G2776">
        <v>3</v>
      </c>
      <c r="H2776" t="s">
        <v>136</v>
      </c>
      <c r="I2776" t="s">
        <v>52</v>
      </c>
      <c r="J2776" t="s">
        <v>138</v>
      </c>
      <c r="K2776" t="s">
        <v>20</v>
      </c>
      <c r="L2776" t="s">
        <v>6849</v>
      </c>
      <c r="M2776" s="3" t="str">
        <f>HYPERLINK("..\..\Imagery\ScannedPhotos\1985\GM85-575.2.jpg")</f>
        <v>..\..\Imagery\ScannedPhotos\1985\GM85-575.2.jpg</v>
      </c>
    </row>
    <row r="2777" spans="1:13" x14ac:dyDescent="0.25">
      <c r="A2777" t="s">
        <v>6847</v>
      </c>
      <c r="B2777">
        <v>584559</v>
      </c>
      <c r="C2777">
        <v>5897055</v>
      </c>
      <c r="D2777">
        <v>21</v>
      </c>
      <c r="E2777" t="s">
        <v>15</v>
      </c>
      <c r="F2777" t="s">
        <v>6850</v>
      </c>
      <c r="G2777">
        <v>3</v>
      </c>
      <c r="H2777" t="s">
        <v>136</v>
      </c>
      <c r="I2777" t="s">
        <v>65</v>
      </c>
      <c r="J2777" t="s">
        <v>138</v>
      </c>
      <c r="K2777" t="s">
        <v>20</v>
      </c>
      <c r="L2777" t="s">
        <v>6849</v>
      </c>
      <c r="M2777" s="3" t="str">
        <f>HYPERLINK("..\..\Imagery\ScannedPhotos\1985\GM85-575.3.jpg")</f>
        <v>..\..\Imagery\ScannedPhotos\1985\GM85-575.3.jpg</v>
      </c>
    </row>
    <row r="2778" spans="1:13" x14ac:dyDescent="0.25">
      <c r="A2778" t="s">
        <v>6851</v>
      </c>
      <c r="B2778">
        <v>398663</v>
      </c>
      <c r="C2778">
        <v>5990358</v>
      </c>
      <c r="D2778">
        <v>21</v>
      </c>
      <c r="E2778" t="s">
        <v>15</v>
      </c>
      <c r="F2778" t="s">
        <v>6852</v>
      </c>
      <c r="G2778">
        <v>2</v>
      </c>
      <c r="H2778" t="s">
        <v>1133</v>
      </c>
      <c r="I2778" t="s">
        <v>195</v>
      </c>
      <c r="J2778" t="s">
        <v>623</v>
      </c>
      <c r="K2778" t="s">
        <v>20</v>
      </c>
      <c r="L2778" t="s">
        <v>6853</v>
      </c>
      <c r="M2778" s="3" t="str">
        <f>HYPERLINK("..\..\Imagery\ScannedPhotos\1980\CG80-192.1.jpg")</f>
        <v>..\..\Imagery\ScannedPhotos\1980\CG80-192.1.jpg</v>
      </c>
    </row>
    <row r="2779" spans="1:13" x14ac:dyDescent="0.25">
      <c r="A2779" t="s">
        <v>6851</v>
      </c>
      <c r="B2779">
        <v>398663</v>
      </c>
      <c r="C2779">
        <v>5990358</v>
      </c>
      <c r="D2779">
        <v>21</v>
      </c>
      <c r="E2779" t="s">
        <v>15</v>
      </c>
      <c r="F2779" t="s">
        <v>6854</v>
      </c>
      <c r="G2779">
        <v>2</v>
      </c>
      <c r="H2779" t="s">
        <v>1133</v>
      </c>
      <c r="I2779" t="s">
        <v>25</v>
      </c>
      <c r="J2779" t="s">
        <v>623</v>
      </c>
      <c r="K2779" t="s">
        <v>20</v>
      </c>
      <c r="L2779" t="s">
        <v>6855</v>
      </c>
      <c r="M2779" s="3" t="str">
        <f>HYPERLINK("..\..\Imagery\ScannedPhotos\1980\CG80-192.2.jpg")</f>
        <v>..\..\Imagery\ScannedPhotos\1980\CG80-192.2.jpg</v>
      </c>
    </row>
    <row r="2780" spans="1:13" x14ac:dyDescent="0.25">
      <c r="A2780" t="s">
        <v>6856</v>
      </c>
      <c r="B2780">
        <v>398710</v>
      </c>
      <c r="C2780">
        <v>5990298</v>
      </c>
      <c r="D2780">
        <v>21</v>
      </c>
      <c r="E2780" t="s">
        <v>15</v>
      </c>
      <c r="F2780" t="s">
        <v>6857</v>
      </c>
      <c r="G2780">
        <v>1</v>
      </c>
      <c r="H2780" t="s">
        <v>1133</v>
      </c>
      <c r="I2780" t="s">
        <v>360</v>
      </c>
      <c r="J2780" t="s">
        <v>623</v>
      </c>
      <c r="K2780" t="s">
        <v>20</v>
      </c>
      <c r="L2780" t="s">
        <v>6858</v>
      </c>
      <c r="M2780" s="3" t="str">
        <f>HYPERLINK("..\..\Imagery\ScannedPhotos\1980\CG80-193.jpg")</f>
        <v>..\..\Imagery\ScannedPhotos\1980\CG80-193.jpg</v>
      </c>
    </row>
    <row r="2781" spans="1:13" x14ac:dyDescent="0.25">
      <c r="A2781" t="s">
        <v>6859</v>
      </c>
      <c r="B2781">
        <v>398821</v>
      </c>
      <c r="C2781">
        <v>5990213</v>
      </c>
      <c r="D2781">
        <v>21</v>
      </c>
      <c r="E2781" t="s">
        <v>15</v>
      </c>
      <c r="F2781" t="s">
        <v>6860</v>
      </c>
      <c r="G2781">
        <v>2</v>
      </c>
      <c r="H2781" t="s">
        <v>1133</v>
      </c>
      <c r="I2781" t="s">
        <v>647</v>
      </c>
      <c r="J2781" t="s">
        <v>623</v>
      </c>
      <c r="K2781" t="s">
        <v>20</v>
      </c>
      <c r="L2781" t="s">
        <v>6861</v>
      </c>
      <c r="M2781" s="3" t="str">
        <f>HYPERLINK("..\..\Imagery\ScannedPhotos\1980\CG80-194.1.jpg")</f>
        <v>..\..\Imagery\ScannedPhotos\1980\CG80-194.1.jpg</v>
      </c>
    </row>
    <row r="2782" spans="1:13" x14ac:dyDescent="0.25">
      <c r="A2782" t="s">
        <v>6859</v>
      </c>
      <c r="B2782">
        <v>398821</v>
      </c>
      <c r="C2782">
        <v>5990213</v>
      </c>
      <c r="D2782">
        <v>21</v>
      </c>
      <c r="E2782" t="s">
        <v>15</v>
      </c>
      <c r="F2782" t="s">
        <v>6862</v>
      </c>
      <c r="G2782">
        <v>2</v>
      </c>
      <c r="H2782" t="s">
        <v>1133</v>
      </c>
      <c r="I2782" t="s">
        <v>30</v>
      </c>
      <c r="J2782" t="s">
        <v>623</v>
      </c>
      <c r="K2782" t="s">
        <v>20</v>
      </c>
      <c r="L2782" t="s">
        <v>6863</v>
      </c>
      <c r="M2782" s="3" t="str">
        <f>HYPERLINK("..\..\Imagery\ScannedPhotos\1980\CG80-194.2.jpg")</f>
        <v>..\..\Imagery\ScannedPhotos\1980\CG80-194.2.jpg</v>
      </c>
    </row>
    <row r="2783" spans="1:13" x14ac:dyDescent="0.25">
      <c r="A2783" t="s">
        <v>1393</v>
      </c>
      <c r="B2783">
        <v>404410</v>
      </c>
      <c r="C2783">
        <v>5836945</v>
      </c>
      <c r="D2783">
        <v>21</v>
      </c>
      <c r="E2783" t="s">
        <v>15</v>
      </c>
      <c r="F2783" t="s">
        <v>6864</v>
      </c>
      <c r="G2783">
        <v>7</v>
      </c>
      <c r="H2783" t="s">
        <v>766</v>
      </c>
      <c r="I2783" t="s">
        <v>47</v>
      </c>
      <c r="J2783" t="s">
        <v>767</v>
      </c>
      <c r="K2783" t="s">
        <v>20</v>
      </c>
      <c r="L2783" t="s">
        <v>1402</v>
      </c>
      <c r="M2783" s="3" t="str">
        <f>HYPERLINK("..\..\Imagery\ScannedPhotos\1997\CG97-161.6.jpg")</f>
        <v>..\..\Imagery\ScannedPhotos\1997\CG97-161.6.jpg</v>
      </c>
    </row>
    <row r="2784" spans="1:13" x14ac:dyDescent="0.25">
      <c r="A2784" t="s">
        <v>6865</v>
      </c>
      <c r="B2784">
        <v>539678</v>
      </c>
      <c r="C2784">
        <v>5827512</v>
      </c>
      <c r="D2784">
        <v>21</v>
      </c>
      <c r="E2784" t="s">
        <v>15</v>
      </c>
      <c r="F2784" t="s">
        <v>6866</v>
      </c>
      <c r="G2784">
        <v>1</v>
      </c>
      <c r="H2784" t="s">
        <v>2325</v>
      </c>
      <c r="I2784" t="s">
        <v>222</v>
      </c>
      <c r="J2784" t="s">
        <v>2019</v>
      </c>
      <c r="K2784" t="s">
        <v>56</v>
      </c>
      <c r="L2784" t="s">
        <v>6867</v>
      </c>
      <c r="M2784" s="3" t="str">
        <f>HYPERLINK("..\..\Imagery\ScannedPhotos\1986\MN86-040.jpg")</f>
        <v>..\..\Imagery\ScannedPhotos\1986\MN86-040.jpg</v>
      </c>
    </row>
    <row r="2785" spans="1:13" x14ac:dyDescent="0.25">
      <c r="A2785" t="s">
        <v>6868</v>
      </c>
      <c r="B2785">
        <v>541209</v>
      </c>
      <c r="C2785">
        <v>5730894</v>
      </c>
      <c r="D2785">
        <v>21</v>
      </c>
      <c r="E2785" t="s">
        <v>15</v>
      </c>
      <c r="F2785" t="s">
        <v>6869</v>
      </c>
      <c r="G2785">
        <v>5</v>
      </c>
      <c r="H2785" t="s">
        <v>3597</v>
      </c>
      <c r="I2785" t="s">
        <v>122</v>
      </c>
      <c r="J2785" t="s">
        <v>3598</v>
      </c>
      <c r="K2785" t="s">
        <v>56</v>
      </c>
      <c r="L2785" t="s">
        <v>6870</v>
      </c>
      <c r="M2785" s="3" t="str">
        <f>HYPERLINK("..\..\Imagery\ScannedPhotos\1993\VN93-038.1.jpg")</f>
        <v>..\..\Imagery\ScannedPhotos\1993\VN93-038.1.jpg</v>
      </c>
    </row>
    <row r="2786" spans="1:13" x14ac:dyDescent="0.25">
      <c r="A2786" t="s">
        <v>6871</v>
      </c>
      <c r="B2786">
        <v>470729</v>
      </c>
      <c r="C2786">
        <v>5924742</v>
      </c>
      <c r="D2786">
        <v>21</v>
      </c>
      <c r="E2786" t="s">
        <v>15</v>
      </c>
      <c r="F2786" t="s">
        <v>6872</v>
      </c>
      <c r="G2786">
        <v>1</v>
      </c>
      <c r="H2786" t="s">
        <v>2912</v>
      </c>
      <c r="I2786" t="s">
        <v>108</v>
      </c>
      <c r="J2786" t="s">
        <v>2913</v>
      </c>
      <c r="K2786" t="s">
        <v>20</v>
      </c>
      <c r="L2786" t="s">
        <v>6873</v>
      </c>
      <c r="M2786" s="3" t="str">
        <f>HYPERLINK("..\..\Imagery\ScannedPhotos\1984\VN84-254.jpg")</f>
        <v>..\..\Imagery\ScannedPhotos\1984\VN84-254.jpg</v>
      </c>
    </row>
    <row r="2787" spans="1:13" x14ac:dyDescent="0.25">
      <c r="A2787" t="s">
        <v>6874</v>
      </c>
      <c r="B2787">
        <v>510564</v>
      </c>
      <c r="C2787">
        <v>5954420</v>
      </c>
      <c r="D2787">
        <v>21</v>
      </c>
      <c r="E2787" t="s">
        <v>15</v>
      </c>
      <c r="F2787" t="s">
        <v>6875</v>
      </c>
      <c r="G2787">
        <v>6</v>
      </c>
      <c r="H2787" t="s">
        <v>6876</v>
      </c>
      <c r="I2787" t="s">
        <v>35</v>
      </c>
      <c r="J2787" t="s">
        <v>48</v>
      </c>
      <c r="K2787" t="s">
        <v>20</v>
      </c>
      <c r="L2787" t="s">
        <v>6877</v>
      </c>
      <c r="M2787" s="3" t="str">
        <f>HYPERLINK("..\..\Imagery\ScannedPhotos\1981\VO81-018.1.jpg")</f>
        <v>..\..\Imagery\ScannedPhotos\1981\VO81-018.1.jpg</v>
      </c>
    </row>
    <row r="2788" spans="1:13" x14ac:dyDescent="0.25">
      <c r="A2788" t="s">
        <v>3567</v>
      </c>
      <c r="B2788">
        <v>493089</v>
      </c>
      <c r="C2788">
        <v>5834135</v>
      </c>
      <c r="D2788">
        <v>21</v>
      </c>
      <c r="E2788" t="s">
        <v>15</v>
      </c>
      <c r="F2788" t="s">
        <v>6878</v>
      </c>
      <c r="G2788">
        <v>5</v>
      </c>
      <c r="H2788" t="s">
        <v>3569</v>
      </c>
      <c r="I2788" t="s">
        <v>119</v>
      </c>
      <c r="J2788" t="s">
        <v>850</v>
      </c>
      <c r="K2788" t="s">
        <v>56</v>
      </c>
      <c r="L2788" t="s">
        <v>6879</v>
      </c>
      <c r="M2788" s="3" t="str">
        <f>HYPERLINK("..\..\Imagery\ScannedPhotos\1991\VN91-078.1.jpg")</f>
        <v>..\..\Imagery\ScannedPhotos\1991\VN91-078.1.jpg</v>
      </c>
    </row>
    <row r="2789" spans="1:13" x14ac:dyDescent="0.25">
      <c r="A2789" t="s">
        <v>3567</v>
      </c>
      <c r="B2789">
        <v>493089</v>
      </c>
      <c r="C2789">
        <v>5834135</v>
      </c>
      <c r="D2789">
        <v>21</v>
      </c>
      <c r="E2789" t="s">
        <v>15</v>
      </c>
      <c r="F2789" t="s">
        <v>6880</v>
      </c>
      <c r="G2789">
        <v>5</v>
      </c>
      <c r="H2789" t="s">
        <v>3569</v>
      </c>
      <c r="I2789" t="s">
        <v>126</v>
      </c>
      <c r="J2789" t="s">
        <v>850</v>
      </c>
      <c r="K2789" t="s">
        <v>20</v>
      </c>
      <c r="L2789" t="s">
        <v>3570</v>
      </c>
      <c r="M2789" s="3" t="str">
        <f>HYPERLINK("..\..\Imagery\ScannedPhotos\1991\VN91-078.3.jpg")</f>
        <v>..\..\Imagery\ScannedPhotos\1991\VN91-078.3.jpg</v>
      </c>
    </row>
    <row r="2790" spans="1:13" x14ac:dyDescent="0.25">
      <c r="A2790" t="s">
        <v>6881</v>
      </c>
      <c r="B2790">
        <v>491700</v>
      </c>
      <c r="C2790">
        <v>5834250</v>
      </c>
      <c r="D2790">
        <v>21</v>
      </c>
      <c r="E2790" t="s">
        <v>15</v>
      </c>
      <c r="F2790" t="s">
        <v>6882</v>
      </c>
      <c r="G2790">
        <v>2</v>
      </c>
      <c r="H2790" t="s">
        <v>3569</v>
      </c>
      <c r="I2790" t="s">
        <v>129</v>
      </c>
      <c r="J2790" t="s">
        <v>850</v>
      </c>
      <c r="K2790" t="s">
        <v>56</v>
      </c>
      <c r="L2790" t="s">
        <v>6883</v>
      </c>
      <c r="M2790" s="3" t="str">
        <f>HYPERLINK("..\..\Imagery\ScannedPhotos\1991\VN91-080.1.jpg")</f>
        <v>..\..\Imagery\ScannedPhotos\1991\VN91-080.1.jpg</v>
      </c>
    </row>
    <row r="2791" spans="1:13" x14ac:dyDescent="0.25">
      <c r="A2791" t="s">
        <v>6881</v>
      </c>
      <c r="B2791">
        <v>491700</v>
      </c>
      <c r="C2791">
        <v>5834250</v>
      </c>
      <c r="D2791">
        <v>21</v>
      </c>
      <c r="E2791" t="s">
        <v>15</v>
      </c>
      <c r="F2791" t="s">
        <v>6884</v>
      </c>
      <c r="G2791">
        <v>2</v>
      </c>
      <c r="H2791" t="s">
        <v>3569</v>
      </c>
      <c r="I2791" t="s">
        <v>143</v>
      </c>
      <c r="J2791" t="s">
        <v>850</v>
      </c>
      <c r="K2791" t="s">
        <v>20</v>
      </c>
      <c r="L2791" t="s">
        <v>6885</v>
      </c>
      <c r="M2791" s="3" t="str">
        <f>HYPERLINK("..\..\Imagery\ScannedPhotos\1991\VN91-080.2.jpg")</f>
        <v>..\..\Imagery\ScannedPhotos\1991\VN91-080.2.jpg</v>
      </c>
    </row>
    <row r="2792" spans="1:13" x14ac:dyDescent="0.25">
      <c r="A2792" t="s">
        <v>6886</v>
      </c>
      <c r="B2792">
        <v>499075</v>
      </c>
      <c r="C2792">
        <v>5855075</v>
      </c>
      <c r="D2792">
        <v>21</v>
      </c>
      <c r="E2792" t="s">
        <v>15</v>
      </c>
      <c r="F2792" t="s">
        <v>6887</v>
      </c>
      <c r="G2792">
        <v>1</v>
      </c>
      <c r="H2792" t="s">
        <v>3569</v>
      </c>
      <c r="I2792" t="s">
        <v>147</v>
      </c>
      <c r="J2792" t="s">
        <v>850</v>
      </c>
      <c r="K2792" t="s">
        <v>56</v>
      </c>
      <c r="L2792" t="s">
        <v>6888</v>
      </c>
      <c r="M2792" s="3" t="str">
        <f>HYPERLINK("..\..\Imagery\ScannedPhotos\1991\VN91-083.jpg")</f>
        <v>..\..\Imagery\ScannedPhotos\1991\VN91-083.jpg</v>
      </c>
    </row>
    <row r="2793" spans="1:13" x14ac:dyDescent="0.25">
      <c r="A2793" t="s">
        <v>6889</v>
      </c>
      <c r="B2793">
        <v>498750</v>
      </c>
      <c r="C2793">
        <v>5852703</v>
      </c>
      <c r="D2793">
        <v>21</v>
      </c>
      <c r="E2793" t="s">
        <v>15</v>
      </c>
      <c r="F2793" t="s">
        <v>6890</v>
      </c>
      <c r="G2793">
        <v>2</v>
      </c>
      <c r="H2793" t="s">
        <v>3569</v>
      </c>
      <c r="I2793" t="s">
        <v>47</v>
      </c>
      <c r="J2793" t="s">
        <v>850</v>
      </c>
      <c r="K2793" t="s">
        <v>20</v>
      </c>
      <c r="L2793" t="s">
        <v>6891</v>
      </c>
      <c r="M2793" s="3" t="str">
        <f>HYPERLINK("..\..\Imagery\ScannedPhotos\1991\VN91-089.1.jpg")</f>
        <v>..\..\Imagery\ScannedPhotos\1991\VN91-089.1.jpg</v>
      </c>
    </row>
    <row r="2794" spans="1:13" x14ac:dyDescent="0.25">
      <c r="A2794" t="s">
        <v>6889</v>
      </c>
      <c r="B2794">
        <v>498750</v>
      </c>
      <c r="C2794">
        <v>5852703</v>
      </c>
      <c r="D2794">
        <v>21</v>
      </c>
      <c r="E2794" t="s">
        <v>15</v>
      </c>
      <c r="F2794" t="s">
        <v>6892</v>
      </c>
      <c r="G2794">
        <v>2</v>
      </c>
      <c r="H2794" t="s">
        <v>3569</v>
      </c>
      <c r="I2794" t="s">
        <v>65</v>
      </c>
      <c r="J2794" t="s">
        <v>850</v>
      </c>
      <c r="K2794" t="s">
        <v>20</v>
      </c>
      <c r="L2794" t="s">
        <v>43</v>
      </c>
      <c r="M2794" s="3" t="str">
        <f>HYPERLINK("..\..\Imagery\ScannedPhotos\1991\VN91-089.2.jpg")</f>
        <v>..\..\Imagery\ScannedPhotos\1991\VN91-089.2.jpg</v>
      </c>
    </row>
    <row r="2795" spans="1:13" x14ac:dyDescent="0.25">
      <c r="A2795" t="s">
        <v>2244</v>
      </c>
      <c r="B2795">
        <v>402144</v>
      </c>
      <c r="C2795">
        <v>5957726</v>
      </c>
      <c r="D2795">
        <v>21</v>
      </c>
      <c r="E2795" t="s">
        <v>15</v>
      </c>
      <c r="F2795" t="s">
        <v>6893</v>
      </c>
      <c r="G2795">
        <v>7</v>
      </c>
      <c r="H2795" t="s">
        <v>2246</v>
      </c>
      <c r="I2795" t="s">
        <v>132</v>
      </c>
      <c r="J2795" t="s">
        <v>2247</v>
      </c>
      <c r="K2795" t="s">
        <v>20</v>
      </c>
      <c r="L2795" t="s">
        <v>2250</v>
      </c>
      <c r="M2795" s="3" t="str">
        <f>HYPERLINK("..\..\Imagery\ScannedPhotos\1981\CG81-556.7.jpg")</f>
        <v>..\..\Imagery\ScannedPhotos\1981\CG81-556.7.jpg</v>
      </c>
    </row>
    <row r="2796" spans="1:13" x14ac:dyDescent="0.25">
      <c r="A2796" t="s">
        <v>6894</v>
      </c>
      <c r="B2796">
        <v>536074</v>
      </c>
      <c r="C2796">
        <v>5873168</v>
      </c>
      <c r="D2796">
        <v>21</v>
      </c>
      <c r="E2796" t="s">
        <v>15</v>
      </c>
      <c r="F2796" t="s">
        <v>6895</v>
      </c>
      <c r="G2796">
        <v>1</v>
      </c>
      <c r="H2796" t="s">
        <v>2084</v>
      </c>
      <c r="I2796" t="s">
        <v>114</v>
      </c>
      <c r="J2796" t="s">
        <v>1014</v>
      </c>
      <c r="K2796" t="s">
        <v>20</v>
      </c>
      <c r="L2796" t="s">
        <v>6896</v>
      </c>
      <c r="M2796" s="3" t="str">
        <f>HYPERLINK("..\..\Imagery\ScannedPhotos\1985\CG85-253.jpg")</f>
        <v>..\..\Imagery\ScannedPhotos\1985\CG85-253.jpg</v>
      </c>
    </row>
    <row r="2797" spans="1:13" x14ac:dyDescent="0.25">
      <c r="A2797" t="s">
        <v>6897</v>
      </c>
      <c r="B2797">
        <v>513821</v>
      </c>
      <c r="C2797">
        <v>5882508</v>
      </c>
      <c r="D2797">
        <v>21</v>
      </c>
      <c r="E2797" t="s">
        <v>15</v>
      </c>
      <c r="F2797" t="s">
        <v>6898</v>
      </c>
      <c r="G2797">
        <v>2</v>
      </c>
      <c r="H2797" t="s">
        <v>2733</v>
      </c>
      <c r="I2797" t="s">
        <v>129</v>
      </c>
      <c r="J2797" t="s">
        <v>814</v>
      </c>
      <c r="K2797" t="s">
        <v>20</v>
      </c>
      <c r="L2797" t="s">
        <v>6899</v>
      </c>
      <c r="M2797" s="3" t="str">
        <f>HYPERLINK("..\..\Imagery\ScannedPhotos\1985\CG85-280.2.jpg")</f>
        <v>..\..\Imagery\ScannedPhotos\1985\CG85-280.2.jpg</v>
      </c>
    </row>
    <row r="2798" spans="1:13" x14ac:dyDescent="0.25">
      <c r="A2798" t="s">
        <v>3350</v>
      </c>
      <c r="B2798">
        <v>596598</v>
      </c>
      <c r="C2798">
        <v>5792798</v>
      </c>
      <c r="D2798">
        <v>21</v>
      </c>
      <c r="E2798" t="s">
        <v>15</v>
      </c>
      <c r="F2798" t="s">
        <v>6900</v>
      </c>
      <c r="G2798">
        <v>3</v>
      </c>
      <c r="K2798" t="s">
        <v>56</v>
      </c>
      <c r="L2798" t="s">
        <v>3352</v>
      </c>
      <c r="M2798" s="3" t="str">
        <f>HYPERLINK("..\..\Imagery\ScannedPhotos\2007\CG07-187.1.jpg")</f>
        <v>..\..\Imagery\ScannedPhotos\2007\CG07-187.1.jpg</v>
      </c>
    </row>
    <row r="2799" spans="1:13" x14ac:dyDescent="0.25">
      <c r="A2799" t="s">
        <v>4752</v>
      </c>
      <c r="B2799">
        <v>581968</v>
      </c>
      <c r="C2799">
        <v>5875728</v>
      </c>
      <c r="D2799">
        <v>21</v>
      </c>
      <c r="E2799" t="s">
        <v>15</v>
      </c>
      <c r="F2799" t="s">
        <v>6901</v>
      </c>
      <c r="G2799">
        <v>3</v>
      </c>
      <c r="H2799" t="s">
        <v>1013</v>
      </c>
      <c r="I2799" t="s">
        <v>108</v>
      </c>
      <c r="J2799" t="s">
        <v>1014</v>
      </c>
      <c r="K2799" t="s">
        <v>20</v>
      </c>
      <c r="L2799" t="s">
        <v>6902</v>
      </c>
      <c r="M2799" s="3" t="str">
        <f>HYPERLINK("..\..\Imagery\ScannedPhotos\1985\CG85-472.2.jpg")</f>
        <v>..\..\Imagery\ScannedPhotos\1985\CG85-472.2.jpg</v>
      </c>
    </row>
    <row r="2800" spans="1:13" x14ac:dyDescent="0.25">
      <c r="A2800" t="s">
        <v>1511</v>
      </c>
      <c r="B2800">
        <v>566520</v>
      </c>
      <c r="C2800">
        <v>5749135</v>
      </c>
      <c r="D2800">
        <v>21</v>
      </c>
      <c r="E2800" t="s">
        <v>15</v>
      </c>
      <c r="F2800" t="s">
        <v>6903</v>
      </c>
      <c r="G2800">
        <v>6</v>
      </c>
      <c r="H2800" t="s">
        <v>1513</v>
      </c>
      <c r="I2800" t="s">
        <v>132</v>
      </c>
      <c r="J2800" t="s">
        <v>1514</v>
      </c>
      <c r="K2800" t="s">
        <v>56</v>
      </c>
      <c r="L2800" t="s">
        <v>6904</v>
      </c>
      <c r="M2800" s="3" t="str">
        <f>HYPERLINK("..\..\Imagery\ScannedPhotos\1993\CG93-455.5.jpg")</f>
        <v>..\..\Imagery\ScannedPhotos\1993\CG93-455.5.jpg</v>
      </c>
    </row>
    <row r="2801" spans="1:13" x14ac:dyDescent="0.25">
      <c r="A2801" t="s">
        <v>1511</v>
      </c>
      <c r="B2801">
        <v>566520</v>
      </c>
      <c r="C2801">
        <v>5749135</v>
      </c>
      <c r="D2801">
        <v>21</v>
      </c>
      <c r="E2801" t="s">
        <v>15</v>
      </c>
      <c r="F2801" t="s">
        <v>6905</v>
      </c>
      <c r="G2801">
        <v>6</v>
      </c>
      <c r="H2801" t="s">
        <v>1513</v>
      </c>
      <c r="I2801" t="s">
        <v>108</v>
      </c>
      <c r="J2801" t="s">
        <v>1514</v>
      </c>
      <c r="K2801" t="s">
        <v>20</v>
      </c>
      <c r="L2801" t="s">
        <v>6906</v>
      </c>
      <c r="M2801" s="3" t="str">
        <f>HYPERLINK("..\..\Imagery\ScannedPhotos\1993\CG93-455.4.jpg")</f>
        <v>..\..\Imagery\ScannedPhotos\1993\CG93-455.4.jpg</v>
      </c>
    </row>
    <row r="2802" spans="1:13" x14ac:dyDescent="0.25">
      <c r="A2802" t="s">
        <v>6907</v>
      </c>
      <c r="B2802">
        <v>577116</v>
      </c>
      <c r="C2802">
        <v>5807510</v>
      </c>
      <c r="D2802">
        <v>21</v>
      </c>
      <c r="E2802" t="s">
        <v>15</v>
      </c>
      <c r="F2802" t="s">
        <v>6908</v>
      </c>
      <c r="G2802">
        <v>1</v>
      </c>
      <c r="K2802" t="s">
        <v>56</v>
      </c>
      <c r="L2802" t="s">
        <v>6763</v>
      </c>
      <c r="M2802" s="3" t="str">
        <f>HYPERLINK("..\..\Imagery\ScannedPhotos\2003\CG03-277.jpg")</f>
        <v>..\..\Imagery\ScannedPhotos\2003\CG03-277.jpg</v>
      </c>
    </row>
    <row r="2803" spans="1:13" x14ac:dyDescent="0.25">
      <c r="A2803" t="s">
        <v>6897</v>
      </c>
      <c r="B2803">
        <v>513821</v>
      </c>
      <c r="C2803">
        <v>5882508</v>
      </c>
      <c r="D2803">
        <v>21</v>
      </c>
      <c r="E2803" t="s">
        <v>15</v>
      </c>
      <c r="F2803" t="s">
        <v>6909</v>
      </c>
      <c r="G2803">
        <v>2</v>
      </c>
      <c r="H2803" t="s">
        <v>2733</v>
      </c>
      <c r="I2803" t="s">
        <v>132</v>
      </c>
      <c r="J2803" t="s">
        <v>814</v>
      </c>
      <c r="K2803" t="s">
        <v>20</v>
      </c>
      <c r="L2803" t="s">
        <v>6910</v>
      </c>
      <c r="M2803" s="3" t="str">
        <f>HYPERLINK("..\..\Imagery\ScannedPhotos\1985\CG85-280.1.jpg")</f>
        <v>..\..\Imagery\ScannedPhotos\1985\CG85-280.1.jpg</v>
      </c>
    </row>
    <row r="2804" spans="1:13" x14ac:dyDescent="0.25">
      <c r="A2804" t="s">
        <v>4436</v>
      </c>
      <c r="B2804">
        <v>579286</v>
      </c>
      <c r="C2804">
        <v>5926480</v>
      </c>
      <c r="D2804">
        <v>21</v>
      </c>
      <c r="E2804" t="s">
        <v>15</v>
      </c>
      <c r="F2804" t="s">
        <v>6911</v>
      </c>
      <c r="G2804">
        <v>3</v>
      </c>
      <c r="H2804" t="s">
        <v>1378</v>
      </c>
      <c r="I2804" t="s">
        <v>35</v>
      </c>
      <c r="J2804" t="s">
        <v>628</v>
      </c>
      <c r="K2804" t="s">
        <v>20</v>
      </c>
      <c r="L2804" t="s">
        <v>6912</v>
      </c>
      <c r="M2804" s="3" t="str">
        <f>HYPERLINK("..\..\Imagery\ScannedPhotos\1985\CG85-617.3.jpg")</f>
        <v>..\..\Imagery\ScannedPhotos\1985\CG85-617.3.jpg</v>
      </c>
    </row>
    <row r="2805" spans="1:13" x14ac:dyDescent="0.25">
      <c r="A2805" t="s">
        <v>6913</v>
      </c>
      <c r="B2805">
        <v>579972</v>
      </c>
      <c r="C2805">
        <v>5906440</v>
      </c>
      <c r="D2805">
        <v>21</v>
      </c>
      <c r="E2805" t="s">
        <v>15</v>
      </c>
      <c r="F2805" t="s">
        <v>6914</v>
      </c>
      <c r="G2805">
        <v>2</v>
      </c>
      <c r="H2805" t="s">
        <v>1582</v>
      </c>
      <c r="I2805" t="s">
        <v>25</v>
      </c>
      <c r="J2805" t="s">
        <v>1583</v>
      </c>
      <c r="K2805" t="s">
        <v>20</v>
      </c>
      <c r="L2805" t="s">
        <v>6915</v>
      </c>
      <c r="M2805" s="3" t="str">
        <f>HYPERLINK("..\..\Imagery\ScannedPhotos\1985\GM85-672.1.jpg")</f>
        <v>..\..\Imagery\ScannedPhotos\1985\GM85-672.1.jpg</v>
      </c>
    </row>
    <row r="2806" spans="1:13" x14ac:dyDescent="0.25">
      <c r="A2806" t="s">
        <v>6916</v>
      </c>
      <c r="B2806">
        <v>576814</v>
      </c>
      <c r="C2806">
        <v>5874548</v>
      </c>
      <c r="D2806">
        <v>21</v>
      </c>
      <c r="E2806" t="s">
        <v>15</v>
      </c>
      <c r="F2806" t="s">
        <v>6917</v>
      </c>
      <c r="G2806">
        <v>1</v>
      </c>
      <c r="H2806" t="s">
        <v>1013</v>
      </c>
      <c r="I2806" t="s">
        <v>18</v>
      </c>
      <c r="J2806" t="s">
        <v>1014</v>
      </c>
      <c r="K2806" t="s">
        <v>109</v>
      </c>
      <c r="L2806" t="s">
        <v>6918</v>
      </c>
      <c r="M2806" s="3" t="str">
        <f>HYPERLINK("..\..\Imagery\ScannedPhotos\1985\CG85-446.jpg")</f>
        <v>..\..\Imagery\ScannedPhotos\1985\CG85-446.jpg</v>
      </c>
    </row>
    <row r="2807" spans="1:13" x14ac:dyDescent="0.25">
      <c r="A2807" t="s">
        <v>6919</v>
      </c>
      <c r="B2807">
        <v>536523</v>
      </c>
      <c r="C2807">
        <v>5856805</v>
      </c>
      <c r="D2807">
        <v>21</v>
      </c>
      <c r="E2807" t="s">
        <v>15</v>
      </c>
      <c r="F2807" t="s">
        <v>6920</v>
      </c>
      <c r="G2807">
        <v>1</v>
      </c>
      <c r="H2807" t="s">
        <v>2018</v>
      </c>
      <c r="I2807" t="s">
        <v>126</v>
      </c>
      <c r="J2807" t="s">
        <v>2019</v>
      </c>
      <c r="K2807" t="s">
        <v>20</v>
      </c>
      <c r="L2807" t="s">
        <v>6921</v>
      </c>
      <c r="M2807" s="3" t="str">
        <f>HYPERLINK("..\..\Imagery\ScannedPhotos\1986\SN86-094.jpg")</f>
        <v>..\..\Imagery\ScannedPhotos\1986\SN86-094.jpg</v>
      </c>
    </row>
    <row r="2808" spans="1:13" x14ac:dyDescent="0.25">
      <c r="A2808" t="s">
        <v>6808</v>
      </c>
      <c r="B2808">
        <v>584724</v>
      </c>
      <c r="C2808">
        <v>5901114</v>
      </c>
      <c r="D2808">
        <v>21</v>
      </c>
      <c r="E2808" t="s">
        <v>15</v>
      </c>
      <c r="F2808" t="s">
        <v>6922</v>
      </c>
      <c r="G2808">
        <v>5</v>
      </c>
      <c r="H2808" t="s">
        <v>1582</v>
      </c>
      <c r="I2808" t="s">
        <v>132</v>
      </c>
      <c r="J2808" t="s">
        <v>1583</v>
      </c>
      <c r="K2808" t="s">
        <v>20</v>
      </c>
      <c r="L2808" t="s">
        <v>6923</v>
      </c>
      <c r="M2808" s="3" t="str">
        <f>HYPERLINK("..\..\Imagery\ScannedPhotos\1985\GM85-681.3.jpg")</f>
        <v>..\..\Imagery\ScannedPhotos\1985\GM85-681.3.jpg</v>
      </c>
    </row>
    <row r="2809" spans="1:13" x14ac:dyDescent="0.25">
      <c r="A2809" t="s">
        <v>6808</v>
      </c>
      <c r="B2809">
        <v>584724</v>
      </c>
      <c r="C2809">
        <v>5901114</v>
      </c>
      <c r="D2809">
        <v>21</v>
      </c>
      <c r="E2809" t="s">
        <v>15</v>
      </c>
      <c r="F2809" t="s">
        <v>6924</v>
      </c>
      <c r="G2809">
        <v>5</v>
      </c>
      <c r="H2809" t="s">
        <v>1582</v>
      </c>
      <c r="I2809" t="s">
        <v>126</v>
      </c>
      <c r="J2809" t="s">
        <v>1583</v>
      </c>
      <c r="K2809" t="s">
        <v>20</v>
      </c>
      <c r="L2809" t="s">
        <v>1859</v>
      </c>
      <c r="M2809" s="3" t="str">
        <f>HYPERLINK("..\..\Imagery\ScannedPhotos\1985\GM85-681.1.jpg")</f>
        <v>..\..\Imagery\ScannedPhotos\1985\GM85-681.1.jpg</v>
      </c>
    </row>
    <row r="2810" spans="1:13" x14ac:dyDescent="0.25">
      <c r="A2810" t="s">
        <v>4609</v>
      </c>
      <c r="B2810">
        <v>584913</v>
      </c>
      <c r="C2810">
        <v>5900977</v>
      </c>
      <c r="D2810">
        <v>21</v>
      </c>
      <c r="E2810" t="s">
        <v>15</v>
      </c>
      <c r="F2810" t="s">
        <v>6925</v>
      </c>
      <c r="G2810">
        <v>4</v>
      </c>
      <c r="H2810" t="s">
        <v>1582</v>
      </c>
      <c r="I2810" t="s">
        <v>52</v>
      </c>
      <c r="J2810" t="s">
        <v>1583</v>
      </c>
      <c r="K2810" t="s">
        <v>20</v>
      </c>
      <c r="L2810" t="s">
        <v>4613</v>
      </c>
      <c r="M2810" s="3" t="str">
        <f>HYPERLINK("..\..\Imagery\ScannedPhotos\1985\GM85-682.3.jpg")</f>
        <v>..\..\Imagery\ScannedPhotos\1985\GM85-682.3.jpg</v>
      </c>
    </row>
    <row r="2811" spans="1:13" x14ac:dyDescent="0.25">
      <c r="A2811" t="s">
        <v>4609</v>
      </c>
      <c r="B2811">
        <v>584913</v>
      </c>
      <c r="C2811">
        <v>5900977</v>
      </c>
      <c r="D2811">
        <v>21</v>
      </c>
      <c r="E2811" t="s">
        <v>15</v>
      </c>
      <c r="F2811" t="s">
        <v>6926</v>
      </c>
      <c r="G2811">
        <v>4</v>
      </c>
      <c r="H2811" t="s">
        <v>1582</v>
      </c>
      <c r="I2811" t="s">
        <v>65</v>
      </c>
      <c r="J2811" t="s">
        <v>1583</v>
      </c>
      <c r="K2811" t="s">
        <v>20</v>
      </c>
      <c r="L2811" t="s">
        <v>2730</v>
      </c>
      <c r="M2811" s="3" t="str">
        <f>HYPERLINK("..\..\Imagery\ScannedPhotos\1985\GM85-682.4.jpg")</f>
        <v>..\..\Imagery\ScannedPhotos\1985\GM85-682.4.jpg</v>
      </c>
    </row>
    <row r="2812" spans="1:13" x14ac:dyDescent="0.25">
      <c r="A2812" t="s">
        <v>1748</v>
      </c>
      <c r="B2812">
        <v>558172</v>
      </c>
      <c r="C2812">
        <v>5813098</v>
      </c>
      <c r="D2812">
        <v>21</v>
      </c>
      <c r="E2812" t="s">
        <v>15</v>
      </c>
      <c r="F2812" t="s">
        <v>6927</v>
      </c>
      <c r="G2812">
        <v>10</v>
      </c>
      <c r="H2812" t="s">
        <v>2106</v>
      </c>
      <c r="I2812" t="s">
        <v>85</v>
      </c>
      <c r="J2812" t="s">
        <v>2107</v>
      </c>
      <c r="K2812" t="s">
        <v>56</v>
      </c>
      <c r="L2812" t="s">
        <v>1756</v>
      </c>
      <c r="M2812" s="3" t="str">
        <f>HYPERLINK("..\..\Imagery\ScannedPhotos\1987\CG87-055.2.jpg")</f>
        <v>..\..\Imagery\ScannedPhotos\1987\CG87-055.2.jpg</v>
      </c>
    </row>
    <row r="2813" spans="1:13" x14ac:dyDescent="0.25">
      <c r="A2813" t="s">
        <v>6928</v>
      </c>
      <c r="B2813">
        <v>315536</v>
      </c>
      <c r="C2813">
        <v>5811558</v>
      </c>
      <c r="D2813">
        <v>21</v>
      </c>
      <c r="E2813" t="s">
        <v>15</v>
      </c>
      <c r="F2813" t="s">
        <v>6929</v>
      </c>
      <c r="G2813">
        <v>1</v>
      </c>
      <c r="H2813" t="s">
        <v>78</v>
      </c>
      <c r="I2813" t="s">
        <v>294</v>
      </c>
      <c r="J2813" t="s">
        <v>80</v>
      </c>
      <c r="K2813" t="s">
        <v>20</v>
      </c>
      <c r="L2813" t="s">
        <v>3743</v>
      </c>
      <c r="M2813" s="3" t="str">
        <f>HYPERLINK("..\..\Imagery\ScannedPhotos\2000\CG00-141.jpg")</f>
        <v>..\..\Imagery\ScannedPhotos\2000\CG00-141.jpg</v>
      </c>
    </row>
    <row r="2814" spans="1:13" x14ac:dyDescent="0.25">
      <c r="A2814" t="s">
        <v>6930</v>
      </c>
      <c r="B2814">
        <v>527372</v>
      </c>
      <c r="C2814">
        <v>5944530</v>
      </c>
      <c r="D2814">
        <v>21</v>
      </c>
      <c r="E2814" t="s">
        <v>15</v>
      </c>
      <c r="F2814" t="s">
        <v>6931</v>
      </c>
      <c r="G2814">
        <v>2</v>
      </c>
      <c r="H2814" t="s">
        <v>2733</v>
      </c>
      <c r="I2814" t="s">
        <v>360</v>
      </c>
      <c r="J2814" t="s">
        <v>814</v>
      </c>
      <c r="K2814" t="s">
        <v>20</v>
      </c>
      <c r="L2814" t="s">
        <v>4457</v>
      </c>
      <c r="M2814" s="3" t="str">
        <f>HYPERLINK("..\..\Imagery\ScannedPhotos\1981\CG81-429.1.jpg")</f>
        <v>..\..\Imagery\ScannedPhotos\1981\CG81-429.1.jpg</v>
      </c>
    </row>
    <row r="2815" spans="1:13" x14ac:dyDescent="0.25">
      <c r="A2815" t="s">
        <v>6932</v>
      </c>
      <c r="B2815">
        <v>582730</v>
      </c>
      <c r="C2815">
        <v>5888696</v>
      </c>
      <c r="D2815">
        <v>21</v>
      </c>
      <c r="E2815" t="s">
        <v>15</v>
      </c>
      <c r="F2815" t="s">
        <v>6933</v>
      </c>
      <c r="G2815">
        <v>2</v>
      </c>
      <c r="H2815" t="s">
        <v>4870</v>
      </c>
      <c r="I2815" t="s">
        <v>143</v>
      </c>
      <c r="J2815" t="s">
        <v>138</v>
      </c>
      <c r="K2815" t="s">
        <v>56</v>
      </c>
      <c r="L2815" t="s">
        <v>6934</v>
      </c>
      <c r="M2815" s="3" t="str">
        <f>HYPERLINK("..\..\Imagery\ScannedPhotos\1985\GM85-529.2.jpg")</f>
        <v>..\..\Imagery\ScannedPhotos\1985\GM85-529.2.jpg</v>
      </c>
    </row>
    <row r="2816" spans="1:13" x14ac:dyDescent="0.25">
      <c r="A2816" t="s">
        <v>5594</v>
      </c>
      <c r="B2816">
        <v>582535</v>
      </c>
      <c r="C2816">
        <v>5899940</v>
      </c>
      <c r="D2816">
        <v>21</v>
      </c>
      <c r="E2816" t="s">
        <v>15</v>
      </c>
      <c r="F2816" t="s">
        <v>6935</v>
      </c>
      <c r="G2816">
        <v>3</v>
      </c>
      <c r="H2816" t="s">
        <v>136</v>
      </c>
      <c r="I2816" t="s">
        <v>281</v>
      </c>
      <c r="J2816" t="s">
        <v>138</v>
      </c>
      <c r="K2816" t="s">
        <v>20</v>
      </c>
      <c r="L2816" t="s">
        <v>5596</v>
      </c>
      <c r="M2816" s="3" t="str">
        <f>HYPERLINK("..\..\Imagery\ScannedPhotos\1985\GM85-534.3.jpg")</f>
        <v>..\..\Imagery\ScannedPhotos\1985\GM85-534.3.jpg</v>
      </c>
    </row>
    <row r="2817" spans="1:13" x14ac:dyDescent="0.25">
      <c r="A2817" t="s">
        <v>5594</v>
      </c>
      <c r="B2817">
        <v>582535</v>
      </c>
      <c r="C2817">
        <v>5899940</v>
      </c>
      <c r="D2817">
        <v>21</v>
      </c>
      <c r="E2817" t="s">
        <v>15</v>
      </c>
      <c r="F2817" t="s">
        <v>6936</v>
      </c>
      <c r="G2817">
        <v>3</v>
      </c>
      <c r="H2817" t="s">
        <v>136</v>
      </c>
      <c r="I2817" t="s">
        <v>79</v>
      </c>
      <c r="J2817" t="s">
        <v>138</v>
      </c>
      <c r="K2817" t="s">
        <v>20</v>
      </c>
      <c r="L2817" t="s">
        <v>5596</v>
      </c>
      <c r="M2817" s="3" t="str">
        <f>HYPERLINK("..\..\Imagery\ScannedPhotos\1985\GM85-534.2.jpg")</f>
        <v>..\..\Imagery\ScannedPhotos\1985\GM85-534.2.jpg</v>
      </c>
    </row>
    <row r="2818" spans="1:13" x14ac:dyDescent="0.25">
      <c r="A2818" t="s">
        <v>5463</v>
      </c>
      <c r="B2818">
        <v>448721</v>
      </c>
      <c r="C2818">
        <v>5915301</v>
      </c>
      <c r="D2818">
        <v>21</v>
      </c>
      <c r="E2818" t="s">
        <v>15</v>
      </c>
      <c r="F2818" t="s">
        <v>6937</v>
      </c>
      <c r="G2818">
        <v>4</v>
      </c>
      <c r="H2818" t="s">
        <v>3308</v>
      </c>
      <c r="I2818" t="s">
        <v>35</v>
      </c>
      <c r="J2818" t="s">
        <v>3309</v>
      </c>
      <c r="K2818" t="s">
        <v>20</v>
      </c>
      <c r="L2818" t="s">
        <v>5465</v>
      </c>
      <c r="M2818" s="3" t="str">
        <f>HYPERLINK("..\..\Imagery\ScannedPhotos\1984\NN84-381.3.jpg")</f>
        <v>..\..\Imagery\ScannedPhotos\1984\NN84-381.3.jpg</v>
      </c>
    </row>
    <row r="2819" spans="1:13" x14ac:dyDescent="0.25">
      <c r="A2819" t="s">
        <v>6938</v>
      </c>
      <c r="B2819">
        <v>422377</v>
      </c>
      <c r="C2819">
        <v>6009685</v>
      </c>
      <c r="D2819">
        <v>21</v>
      </c>
      <c r="E2819" t="s">
        <v>15</v>
      </c>
      <c r="F2819" t="s">
        <v>6939</v>
      </c>
      <c r="G2819">
        <v>1</v>
      </c>
      <c r="H2819" t="s">
        <v>900</v>
      </c>
      <c r="I2819" t="s">
        <v>132</v>
      </c>
      <c r="J2819" t="s">
        <v>652</v>
      </c>
      <c r="K2819" t="s">
        <v>20</v>
      </c>
      <c r="L2819" t="s">
        <v>6940</v>
      </c>
      <c r="M2819" s="3" t="str">
        <f>HYPERLINK("..\..\Imagery\ScannedPhotos\1980\RG80-034.jpg")</f>
        <v>..\..\Imagery\ScannedPhotos\1980\RG80-034.jpg</v>
      </c>
    </row>
    <row r="2820" spans="1:13" x14ac:dyDescent="0.25">
      <c r="A2820" t="s">
        <v>6611</v>
      </c>
      <c r="B2820">
        <v>409324</v>
      </c>
      <c r="C2820">
        <v>6004812</v>
      </c>
      <c r="D2820">
        <v>21</v>
      </c>
      <c r="E2820" t="s">
        <v>15</v>
      </c>
      <c r="F2820" t="s">
        <v>6941</v>
      </c>
      <c r="G2820">
        <v>4</v>
      </c>
      <c r="H2820" t="s">
        <v>900</v>
      </c>
      <c r="I2820" t="s">
        <v>147</v>
      </c>
      <c r="J2820" t="s">
        <v>652</v>
      </c>
      <c r="K2820" t="s">
        <v>20</v>
      </c>
      <c r="L2820" t="s">
        <v>6942</v>
      </c>
      <c r="M2820" s="3" t="str">
        <f>HYPERLINK("..\..\Imagery\ScannedPhotos\1980\RG80-038.3.jpg")</f>
        <v>..\..\Imagery\ScannedPhotos\1980\RG80-038.3.jpg</v>
      </c>
    </row>
    <row r="2821" spans="1:13" x14ac:dyDescent="0.25">
      <c r="A2821" t="s">
        <v>6943</v>
      </c>
      <c r="B2821">
        <v>460439</v>
      </c>
      <c r="C2821">
        <v>6026312</v>
      </c>
      <c r="D2821">
        <v>21</v>
      </c>
      <c r="E2821" t="s">
        <v>15</v>
      </c>
      <c r="F2821" t="s">
        <v>6944</v>
      </c>
      <c r="G2821">
        <v>1</v>
      </c>
      <c r="H2821" t="s">
        <v>1862</v>
      </c>
      <c r="I2821" t="s">
        <v>137</v>
      </c>
      <c r="J2821" t="s">
        <v>1863</v>
      </c>
      <c r="K2821" t="s">
        <v>20</v>
      </c>
      <c r="L2821" t="s">
        <v>6945</v>
      </c>
      <c r="M2821" s="3" t="str">
        <f>HYPERLINK("..\..\Imagery\ScannedPhotos\1979\CG79-783.jpg")</f>
        <v>..\..\Imagery\ScannedPhotos\1979\CG79-783.jpg</v>
      </c>
    </row>
    <row r="2822" spans="1:13" x14ac:dyDescent="0.25">
      <c r="A2822" t="s">
        <v>2136</v>
      </c>
      <c r="B2822">
        <v>458283</v>
      </c>
      <c r="C2822">
        <v>6025350</v>
      </c>
      <c r="D2822">
        <v>21</v>
      </c>
      <c r="E2822" t="s">
        <v>15</v>
      </c>
      <c r="F2822" t="s">
        <v>6946</v>
      </c>
      <c r="G2822">
        <v>3</v>
      </c>
      <c r="H2822" t="s">
        <v>1862</v>
      </c>
      <c r="I2822" t="s">
        <v>74</v>
      </c>
      <c r="J2822" t="s">
        <v>1863</v>
      </c>
      <c r="K2822" t="s">
        <v>20</v>
      </c>
      <c r="L2822" t="s">
        <v>2138</v>
      </c>
      <c r="M2822" s="3" t="str">
        <f>HYPERLINK("..\..\Imagery\ScannedPhotos\1979\CG79-786.3.jpg")</f>
        <v>..\..\Imagery\ScannedPhotos\1979\CG79-786.3.jpg</v>
      </c>
    </row>
    <row r="2823" spans="1:13" x14ac:dyDescent="0.25">
      <c r="A2823" t="s">
        <v>6947</v>
      </c>
      <c r="B2823">
        <v>563414</v>
      </c>
      <c r="C2823">
        <v>5838872</v>
      </c>
      <c r="D2823">
        <v>21</v>
      </c>
      <c r="E2823" t="s">
        <v>15</v>
      </c>
      <c r="F2823" t="s">
        <v>6948</v>
      </c>
      <c r="G2823">
        <v>1</v>
      </c>
      <c r="K2823" t="s">
        <v>20</v>
      </c>
      <c r="L2823" t="s">
        <v>6949</v>
      </c>
      <c r="M2823" s="3" t="str">
        <f>HYPERLINK("..\..\Imagery\ScannedPhotos\2004\CG04-096.jpg")</f>
        <v>..\..\Imagery\ScannedPhotos\2004\CG04-096.jpg</v>
      </c>
    </row>
    <row r="2824" spans="1:13" x14ac:dyDescent="0.25">
      <c r="A2824" t="s">
        <v>6950</v>
      </c>
      <c r="B2824">
        <v>565726</v>
      </c>
      <c r="C2824">
        <v>5837321</v>
      </c>
      <c r="D2824">
        <v>21</v>
      </c>
      <c r="E2824" t="s">
        <v>15</v>
      </c>
      <c r="F2824" t="s">
        <v>6951</v>
      </c>
      <c r="G2824">
        <v>2</v>
      </c>
      <c r="K2824" t="s">
        <v>20</v>
      </c>
      <c r="L2824" t="s">
        <v>6952</v>
      </c>
      <c r="M2824" s="3" t="str">
        <f>HYPERLINK("..\..\Imagery\ScannedPhotos\2004\CG04-104.1.jpg")</f>
        <v>..\..\Imagery\ScannedPhotos\2004\CG04-104.1.jpg</v>
      </c>
    </row>
    <row r="2825" spans="1:13" x14ac:dyDescent="0.25">
      <c r="A2825" t="s">
        <v>3746</v>
      </c>
      <c r="B2825">
        <v>566103</v>
      </c>
      <c r="C2825">
        <v>5837012</v>
      </c>
      <c r="D2825">
        <v>21</v>
      </c>
      <c r="E2825" t="s">
        <v>15</v>
      </c>
      <c r="F2825" t="s">
        <v>6953</v>
      </c>
      <c r="G2825">
        <v>13</v>
      </c>
      <c r="K2825" t="s">
        <v>20</v>
      </c>
      <c r="L2825" t="s">
        <v>3755</v>
      </c>
      <c r="M2825" s="3" t="str">
        <f>HYPERLINK("..\..\Imagery\ScannedPhotos\2004\CG04-106.1.jpg")</f>
        <v>..\..\Imagery\ScannedPhotos\2004\CG04-106.1.jpg</v>
      </c>
    </row>
    <row r="2826" spans="1:13" x14ac:dyDescent="0.25">
      <c r="A2826" t="s">
        <v>1933</v>
      </c>
      <c r="B2826">
        <v>579280</v>
      </c>
      <c r="C2826">
        <v>5884728</v>
      </c>
      <c r="D2826">
        <v>21</v>
      </c>
      <c r="E2826" t="s">
        <v>15</v>
      </c>
      <c r="F2826" t="s">
        <v>6954</v>
      </c>
      <c r="G2826">
        <v>3</v>
      </c>
      <c r="H2826" t="s">
        <v>1373</v>
      </c>
      <c r="I2826" t="s">
        <v>137</v>
      </c>
      <c r="J2826" t="s">
        <v>1374</v>
      </c>
      <c r="K2826" t="s">
        <v>20</v>
      </c>
      <c r="L2826" t="s">
        <v>642</v>
      </c>
      <c r="M2826" s="3" t="str">
        <f>HYPERLINK("..\..\Imagery\ScannedPhotos\1985\CG85-483.2.jpg")</f>
        <v>..\..\Imagery\ScannedPhotos\1985\CG85-483.2.jpg</v>
      </c>
    </row>
    <row r="2827" spans="1:13" x14ac:dyDescent="0.25">
      <c r="A2827" t="s">
        <v>2443</v>
      </c>
      <c r="B2827">
        <v>445413</v>
      </c>
      <c r="C2827">
        <v>5922227</v>
      </c>
      <c r="D2827">
        <v>21</v>
      </c>
      <c r="E2827" t="s">
        <v>15</v>
      </c>
      <c r="F2827" t="s">
        <v>6955</v>
      </c>
      <c r="G2827">
        <v>4</v>
      </c>
      <c r="H2827" t="s">
        <v>2445</v>
      </c>
      <c r="I2827" t="s">
        <v>69</v>
      </c>
      <c r="J2827" t="s">
        <v>2446</v>
      </c>
      <c r="K2827" t="s">
        <v>56</v>
      </c>
      <c r="L2827" t="s">
        <v>4616</v>
      </c>
      <c r="M2827" s="3" t="str">
        <f>HYPERLINK("..\..\Imagery\ScannedPhotos\1984\NN84-032.2.jpg")</f>
        <v>..\..\Imagery\ScannedPhotos\1984\NN84-032.2.jpg</v>
      </c>
    </row>
    <row r="2828" spans="1:13" x14ac:dyDescent="0.25">
      <c r="A2828" t="s">
        <v>1870</v>
      </c>
      <c r="B2828">
        <v>398255</v>
      </c>
      <c r="C2828">
        <v>6073296</v>
      </c>
      <c r="D2828">
        <v>21</v>
      </c>
      <c r="E2828" t="s">
        <v>15</v>
      </c>
      <c r="F2828" t="s">
        <v>6956</v>
      </c>
      <c r="G2828">
        <v>8</v>
      </c>
      <c r="H2828" t="s">
        <v>1872</v>
      </c>
      <c r="I2828" t="s">
        <v>119</v>
      </c>
      <c r="J2828" t="s">
        <v>1873</v>
      </c>
      <c r="K2828" t="s">
        <v>20</v>
      </c>
      <c r="L2828" t="s">
        <v>290</v>
      </c>
      <c r="M2828" s="3" t="str">
        <f>HYPERLINK("..\..\Imagery\ScannedPhotos\1979\CG79-018.6.jpg")</f>
        <v>..\..\Imagery\ScannedPhotos\1979\CG79-018.6.jpg</v>
      </c>
    </row>
    <row r="2829" spans="1:13" x14ac:dyDescent="0.25">
      <c r="A2829" t="s">
        <v>2877</v>
      </c>
      <c r="B2829">
        <v>487350</v>
      </c>
      <c r="C2829">
        <v>5845375</v>
      </c>
      <c r="D2829">
        <v>21</v>
      </c>
      <c r="E2829" t="s">
        <v>15</v>
      </c>
      <c r="F2829" t="s">
        <v>6957</v>
      </c>
      <c r="G2829">
        <v>6</v>
      </c>
      <c r="H2829" t="s">
        <v>1128</v>
      </c>
      <c r="I2829" t="s">
        <v>214</v>
      </c>
      <c r="J2829" t="s">
        <v>1129</v>
      </c>
      <c r="K2829" t="s">
        <v>20</v>
      </c>
      <c r="L2829" t="s">
        <v>2879</v>
      </c>
      <c r="M2829" s="3" t="str">
        <f>HYPERLINK("..\..\Imagery\ScannedPhotos\1991\VN91-108.1.jpg")</f>
        <v>..\..\Imagery\ScannedPhotos\1991\VN91-108.1.jpg</v>
      </c>
    </row>
    <row r="2830" spans="1:13" x14ac:dyDescent="0.25">
      <c r="A2830" t="s">
        <v>6958</v>
      </c>
      <c r="B2830">
        <v>569115</v>
      </c>
      <c r="C2830">
        <v>5884125</v>
      </c>
      <c r="D2830">
        <v>21</v>
      </c>
      <c r="E2830" t="s">
        <v>15</v>
      </c>
      <c r="F2830" t="s">
        <v>6959</v>
      </c>
      <c r="G2830">
        <v>3</v>
      </c>
      <c r="H2830" t="s">
        <v>1507</v>
      </c>
      <c r="I2830" t="s">
        <v>126</v>
      </c>
      <c r="J2830" t="s">
        <v>1508</v>
      </c>
      <c r="K2830" t="s">
        <v>20</v>
      </c>
      <c r="L2830" t="s">
        <v>6960</v>
      </c>
      <c r="M2830" s="3" t="str">
        <f>HYPERLINK("..\..\Imagery\ScannedPhotos\1985\GM85-496.1.jpg")</f>
        <v>..\..\Imagery\ScannedPhotos\1985\GM85-496.1.jpg</v>
      </c>
    </row>
    <row r="2831" spans="1:13" x14ac:dyDescent="0.25">
      <c r="A2831" t="s">
        <v>1505</v>
      </c>
      <c r="B2831">
        <v>569136</v>
      </c>
      <c r="C2831">
        <v>5884409</v>
      </c>
      <c r="D2831">
        <v>21</v>
      </c>
      <c r="E2831" t="s">
        <v>15</v>
      </c>
      <c r="F2831" t="s">
        <v>6961</v>
      </c>
      <c r="G2831">
        <v>7</v>
      </c>
      <c r="H2831" t="s">
        <v>1507</v>
      </c>
      <c r="I2831" t="s">
        <v>129</v>
      </c>
      <c r="J2831" t="s">
        <v>1508</v>
      </c>
      <c r="K2831" t="s">
        <v>20</v>
      </c>
      <c r="L2831" t="s">
        <v>1031</v>
      </c>
      <c r="M2831" s="3" t="str">
        <f>HYPERLINK("..\..\Imagery\ScannedPhotos\1985\GM85-497.1.jpg")</f>
        <v>..\..\Imagery\ScannedPhotos\1985\GM85-497.1.jpg</v>
      </c>
    </row>
    <row r="2832" spans="1:13" x14ac:dyDescent="0.25">
      <c r="A2832" t="s">
        <v>1505</v>
      </c>
      <c r="B2832">
        <v>569136</v>
      </c>
      <c r="C2832">
        <v>5884409</v>
      </c>
      <c r="D2832">
        <v>21</v>
      </c>
      <c r="E2832" t="s">
        <v>15</v>
      </c>
      <c r="F2832" t="s">
        <v>6962</v>
      </c>
      <c r="G2832">
        <v>7</v>
      </c>
      <c r="H2832" t="s">
        <v>1507</v>
      </c>
      <c r="I2832" t="s">
        <v>65</v>
      </c>
      <c r="J2832" t="s">
        <v>1508</v>
      </c>
      <c r="K2832" t="s">
        <v>20</v>
      </c>
      <c r="L2832" t="s">
        <v>6963</v>
      </c>
      <c r="M2832" s="3" t="str">
        <f>HYPERLINK("..\..\Imagery\ScannedPhotos\1985\GM85-497.6.jpg")</f>
        <v>..\..\Imagery\ScannedPhotos\1985\GM85-497.6.jpg</v>
      </c>
    </row>
    <row r="2833" spans="1:13" x14ac:dyDescent="0.25">
      <c r="A2833" t="s">
        <v>1505</v>
      </c>
      <c r="B2833">
        <v>569136</v>
      </c>
      <c r="C2833">
        <v>5884409</v>
      </c>
      <c r="D2833">
        <v>21</v>
      </c>
      <c r="E2833" t="s">
        <v>15</v>
      </c>
      <c r="F2833" t="s">
        <v>6964</v>
      </c>
      <c r="G2833">
        <v>7</v>
      </c>
      <c r="H2833" t="s">
        <v>1507</v>
      </c>
      <c r="I2833" t="s">
        <v>401</v>
      </c>
      <c r="J2833" t="s">
        <v>1508</v>
      </c>
      <c r="K2833" t="s">
        <v>56</v>
      </c>
      <c r="L2833" t="s">
        <v>6963</v>
      </c>
      <c r="M2833" s="3" t="str">
        <f>HYPERLINK("..\..\Imagery\ScannedPhotos\1985\GM85-497.7.jpg")</f>
        <v>..\..\Imagery\ScannedPhotos\1985\GM85-497.7.jpg</v>
      </c>
    </row>
    <row r="2834" spans="1:13" x14ac:dyDescent="0.25">
      <c r="A2834" t="s">
        <v>1505</v>
      </c>
      <c r="B2834">
        <v>569136</v>
      </c>
      <c r="C2834">
        <v>5884409</v>
      </c>
      <c r="D2834">
        <v>21</v>
      </c>
      <c r="E2834" t="s">
        <v>15</v>
      </c>
      <c r="F2834" t="s">
        <v>6965</v>
      </c>
      <c r="G2834">
        <v>7</v>
      </c>
      <c r="H2834" t="s">
        <v>1507</v>
      </c>
      <c r="I2834" t="s">
        <v>52</v>
      </c>
      <c r="J2834" t="s">
        <v>1508</v>
      </c>
      <c r="K2834" t="s">
        <v>20</v>
      </c>
      <c r="L2834" t="s">
        <v>6963</v>
      </c>
      <c r="M2834" s="3" t="str">
        <f>HYPERLINK("..\..\Imagery\ScannedPhotos\1985\GM85-497.5.jpg")</f>
        <v>..\..\Imagery\ScannedPhotos\1985\GM85-497.5.jpg</v>
      </c>
    </row>
    <row r="2835" spans="1:13" x14ac:dyDescent="0.25">
      <c r="A2835" t="s">
        <v>6040</v>
      </c>
      <c r="B2835">
        <v>474925</v>
      </c>
      <c r="C2835">
        <v>5854175</v>
      </c>
      <c r="D2835">
        <v>21</v>
      </c>
      <c r="E2835" t="s">
        <v>15</v>
      </c>
      <c r="F2835" t="s">
        <v>6966</v>
      </c>
      <c r="G2835">
        <v>2</v>
      </c>
      <c r="H2835" t="s">
        <v>2719</v>
      </c>
      <c r="I2835" t="s">
        <v>281</v>
      </c>
      <c r="J2835" t="s">
        <v>891</v>
      </c>
      <c r="K2835" t="s">
        <v>20</v>
      </c>
      <c r="L2835" t="s">
        <v>6967</v>
      </c>
      <c r="M2835" s="3" t="str">
        <f>HYPERLINK("..\..\Imagery\ScannedPhotos\1991\VN91-253.1.jpg")</f>
        <v>..\..\Imagery\ScannedPhotos\1991\VN91-253.1.jpg</v>
      </c>
    </row>
    <row r="2836" spans="1:13" x14ac:dyDescent="0.25">
      <c r="A2836" t="s">
        <v>6968</v>
      </c>
      <c r="B2836">
        <v>473875</v>
      </c>
      <c r="C2836">
        <v>5856575</v>
      </c>
      <c r="D2836">
        <v>21</v>
      </c>
      <c r="E2836" t="s">
        <v>15</v>
      </c>
      <c r="F2836" t="s">
        <v>6969</v>
      </c>
      <c r="G2836">
        <v>1</v>
      </c>
      <c r="H2836" t="s">
        <v>2719</v>
      </c>
      <c r="I2836" t="s">
        <v>18</v>
      </c>
      <c r="J2836" t="s">
        <v>891</v>
      </c>
      <c r="K2836" t="s">
        <v>20</v>
      </c>
      <c r="L2836" t="s">
        <v>6970</v>
      </c>
      <c r="M2836" s="3" t="str">
        <f>HYPERLINK("..\..\Imagery\ScannedPhotos\1991\VN91-259.jpg")</f>
        <v>..\..\Imagery\ScannedPhotos\1991\VN91-259.jpg</v>
      </c>
    </row>
    <row r="2837" spans="1:13" x14ac:dyDescent="0.25">
      <c r="A2837" t="s">
        <v>6971</v>
      </c>
      <c r="B2837">
        <v>359042</v>
      </c>
      <c r="C2837">
        <v>5897802</v>
      </c>
      <c r="D2837">
        <v>21</v>
      </c>
      <c r="E2837" t="s">
        <v>15</v>
      </c>
      <c r="F2837" t="s">
        <v>6972</v>
      </c>
      <c r="G2837">
        <v>2</v>
      </c>
      <c r="K2837" t="s">
        <v>20</v>
      </c>
      <c r="L2837" t="s">
        <v>6973</v>
      </c>
      <c r="M2837" s="3" t="str">
        <f>HYPERLINK("..\..\Imagery\ScannedPhotos\2007\CG07-103.1.jpg")</f>
        <v>..\..\Imagery\ScannedPhotos\2007\CG07-103.1.jpg</v>
      </c>
    </row>
    <row r="2838" spans="1:13" x14ac:dyDescent="0.25">
      <c r="A2838" t="s">
        <v>6971</v>
      </c>
      <c r="B2838">
        <v>359042</v>
      </c>
      <c r="C2838">
        <v>5897802</v>
      </c>
      <c r="D2838">
        <v>21</v>
      </c>
      <c r="E2838" t="s">
        <v>15</v>
      </c>
      <c r="F2838" t="s">
        <v>6974</v>
      </c>
      <c r="G2838">
        <v>2</v>
      </c>
      <c r="K2838" t="s">
        <v>56</v>
      </c>
      <c r="L2838" t="s">
        <v>6973</v>
      </c>
      <c r="M2838" s="3" t="str">
        <f>HYPERLINK("..\..\Imagery\ScannedPhotos\2007\CG07-103.2.jpg")</f>
        <v>..\..\Imagery\ScannedPhotos\2007\CG07-103.2.jpg</v>
      </c>
    </row>
    <row r="2839" spans="1:13" x14ac:dyDescent="0.25">
      <c r="A2839" t="s">
        <v>6975</v>
      </c>
      <c r="B2839">
        <v>359019</v>
      </c>
      <c r="C2839">
        <v>5897682</v>
      </c>
      <c r="D2839">
        <v>21</v>
      </c>
      <c r="E2839" t="s">
        <v>15</v>
      </c>
      <c r="F2839" t="s">
        <v>6976</v>
      </c>
      <c r="G2839">
        <v>3</v>
      </c>
      <c r="K2839" t="s">
        <v>20</v>
      </c>
      <c r="L2839" t="s">
        <v>6977</v>
      </c>
      <c r="M2839" s="3" t="str">
        <f>HYPERLINK("..\..\Imagery\ScannedPhotos\2007\CG07-104.1.jpg")</f>
        <v>..\..\Imagery\ScannedPhotos\2007\CG07-104.1.jpg</v>
      </c>
    </row>
    <row r="2840" spans="1:13" x14ac:dyDescent="0.25">
      <c r="A2840" t="s">
        <v>6975</v>
      </c>
      <c r="B2840">
        <v>359019</v>
      </c>
      <c r="C2840">
        <v>5897682</v>
      </c>
      <c r="D2840">
        <v>21</v>
      </c>
      <c r="E2840" t="s">
        <v>15</v>
      </c>
      <c r="F2840" t="s">
        <v>6978</v>
      </c>
      <c r="G2840">
        <v>3</v>
      </c>
      <c r="K2840" t="s">
        <v>20</v>
      </c>
      <c r="L2840" t="s">
        <v>6977</v>
      </c>
      <c r="M2840" s="3" t="str">
        <f>HYPERLINK("..\..\Imagery\ScannedPhotos\2007\CG07-104.3.jpg")</f>
        <v>..\..\Imagery\ScannedPhotos\2007\CG07-104.3.jpg</v>
      </c>
    </row>
    <row r="2841" spans="1:13" x14ac:dyDescent="0.25">
      <c r="A2841" t="s">
        <v>6979</v>
      </c>
      <c r="B2841">
        <v>358988</v>
      </c>
      <c r="C2841">
        <v>5897646</v>
      </c>
      <c r="D2841">
        <v>21</v>
      </c>
      <c r="E2841" t="s">
        <v>15</v>
      </c>
      <c r="F2841" t="s">
        <v>6980</v>
      </c>
      <c r="G2841">
        <v>1</v>
      </c>
      <c r="K2841" t="s">
        <v>20</v>
      </c>
      <c r="L2841" t="s">
        <v>6977</v>
      </c>
      <c r="M2841" s="3" t="str">
        <f>HYPERLINK("..\..\Imagery\ScannedPhotos\2007\CG07-105.jpg")</f>
        <v>..\..\Imagery\ScannedPhotos\2007\CG07-105.jpg</v>
      </c>
    </row>
    <row r="2842" spans="1:13" x14ac:dyDescent="0.25">
      <c r="A2842" t="s">
        <v>6981</v>
      </c>
      <c r="B2842">
        <v>360798</v>
      </c>
      <c r="C2842">
        <v>5892444</v>
      </c>
      <c r="D2842">
        <v>21</v>
      </c>
      <c r="E2842" t="s">
        <v>15</v>
      </c>
      <c r="F2842" t="s">
        <v>6982</v>
      </c>
      <c r="G2842">
        <v>1</v>
      </c>
      <c r="K2842" t="s">
        <v>20</v>
      </c>
      <c r="L2842" t="s">
        <v>6977</v>
      </c>
      <c r="M2842" s="3" t="str">
        <f>HYPERLINK("..\..\Imagery\ScannedPhotos\2007\CG07-109.jpg")</f>
        <v>..\..\Imagery\ScannedPhotos\2007\CG07-109.jpg</v>
      </c>
    </row>
    <row r="2843" spans="1:13" x14ac:dyDescent="0.25">
      <c r="A2843" t="s">
        <v>3499</v>
      </c>
      <c r="B2843">
        <v>362936</v>
      </c>
      <c r="C2843">
        <v>5895594</v>
      </c>
      <c r="D2843">
        <v>21</v>
      </c>
      <c r="E2843" t="s">
        <v>15</v>
      </c>
      <c r="F2843" t="s">
        <v>6983</v>
      </c>
      <c r="G2843">
        <v>7</v>
      </c>
      <c r="K2843" t="s">
        <v>109</v>
      </c>
      <c r="L2843" t="s">
        <v>3501</v>
      </c>
      <c r="M2843" s="3" t="str">
        <f>HYPERLINK("..\..\Imagery\ScannedPhotos\2007\CG07-110.1.jpg")</f>
        <v>..\..\Imagery\ScannedPhotos\2007\CG07-110.1.jpg</v>
      </c>
    </row>
    <row r="2844" spans="1:13" x14ac:dyDescent="0.25">
      <c r="A2844" t="s">
        <v>3499</v>
      </c>
      <c r="B2844">
        <v>362936</v>
      </c>
      <c r="C2844">
        <v>5895594</v>
      </c>
      <c r="D2844">
        <v>21</v>
      </c>
      <c r="E2844" t="s">
        <v>15</v>
      </c>
      <c r="F2844" t="s">
        <v>6984</v>
      </c>
      <c r="G2844">
        <v>7</v>
      </c>
      <c r="K2844" t="s">
        <v>109</v>
      </c>
      <c r="L2844" t="s">
        <v>3501</v>
      </c>
      <c r="M2844" s="3" t="str">
        <f>HYPERLINK("..\..\Imagery\ScannedPhotos\2007\CG07-110.2.jpg")</f>
        <v>..\..\Imagery\ScannedPhotos\2007\CG07-110.2.jpg</v>
      </c>
    </row>
    <row r="2845" spans="1:13" x14ac:dyDescent="0.25">
      <c r="A2845" t="s">
        <v>3499</v>
      </c>
      <c r="B2845">
        <v>362936</v>
      </c>
      <c r="C2845">
        <v>5895594</v>
      </c>
      <c r="D2845">
        <v>21</v>
      </c>
      <c r="E2845" t="s">
        <v>15</v>
      </c>
      <c r="F2845" t="s">
        <v>6985</v>
      </c>
      <c r="G2845">
        <v>7</v>
      </c>
      <c r="K2845" t="s">
        <v>109</v>
      </c>
      <c r="L2845" t="s">
        <v>3501</v>
      </c>
      <c r="M2845" s="3" t="str">
        <f>HYPERLINK("..\..\Imagery\ScannedPhotos\2007\CG07-110.3.jpg")</f>
        <v>..\..\Imagery\ScannedPhotos\2007\CG07-110.3.jpg</v>
      </c>
    </row>
    <row r="2846" spans="1:13" x14ac:dyDescent="0.25">
      <c r="A2846" t="s">
        <v>32</v>
      </c>
      <c r="B2846">
        <v>596446</v>
      </c>
      <c r="C2846">
        <v>5792950</v>
      </c>
      <c r="D2846">
        <v>21</v>
      </c>
      <c r="E2846" t="s">
        <v>15</v>
      </c>
      <c r="F2846" t="s">
        <v>6986</v>
      </c>
      <c r="G2846">
        <v>40</v>
      </c>
      <c r="H2846" t="s">
        <v>34</v>
      </c>
      <c r="I2846" t="s">
        <v>18</v>
      </c>
      <c r="J2846" t="s">
        <v>36</v>
      </c>
      <c r="K2846" t="s">
        <v>20</v>
      </c>
      <c r="L2846" t="s">
        <v>37</v>
      </c>
      <c r="M2846" s="3" t="str">
        <f>HYPERLINK("..\..\Imagery\ScannedPhotos\1987\CG87-488.16.jpg")</f>
        <v>..\..\Imagery\ScannedPhotos\1987\CG87-488.16.jpg</v>
      </c>
    </row>
    <row r="2847" spans="1:13" x14ac:dyDescent="0.25">
      <c r="A2847" t="s">
        <v>6775</v>
      </c>
      <c r="B2847">
        <v>447658</v>
      </c>
      <c r="C2847">
        <v>5898785</v>
      </c>
      <c r="D2847">
        <v>21</v>
      </c>
      <c r="E2847" t="s">
        <v>15</v>
      </c>
      <c r="F2847" t="s">
        <v>6987</v>
      </c>
      <c r="G2847">
        <v>6</v>
      </c>
      <c r="H2847" t="s">
        <v>4524</v>
      </c>
      <c r="I2847" t="s">
        <v>137</v>
      </c>
      <c r="J2847" t="s">
        <v>3309</v>
      </c>
      <c r="K2847" t="s">
        <v>20</v>
      </c>
      <c r="L2847" t="s">
        <v>6779</v>
      </c>
      <c r="M2847" s="3" t="str">
        <f>HYPERLINK("..\..\Imagery\ScannedPhotos\1984\CG84-495.4.jpg")</f>
        <v>..\..\Imagery\ScannedPhotos\1984\CG84-495.4.jpg</v>
      </c>
    </row>
    <row r="2848" spans="1:13" x14ac:dyDescent="0.25">
      <c r="A2848" t="s">
        <v>6775</v>
      </c>
      <c r="B2848">
        <v>447658</v>
      </c>
      <c r="C2848">
        <v>5898785</v>
      </c>
      <c r="D2848">
        <v>21</v>
      </c>
      <c r="E2848" t="s">
        <v>15</v>
      </c>
      <c r="F2848" t="s">
        <v>6988</v>
      </c>
      <c r="G2848">
        <v>6</v>
      </c>
      <c r="H2848" t="s">
        <v>201</v>
      </c>
      <c r="I2848" t="s">
        <v>108</v>
      </c>
      <c r="J2848" t="s">
        <v>202</v>
      </c>
      <c r="K2848" t="s">
        <v>20</v>
      </c>
      <c r="L2848" t="s">
        <v>6989</v>
      </c>
      <c r="M2848" s="3" t="str">
        <f>HYPERLINK("..\..\Imagery\ScannedPhotos\1984\CG84-495.6.jpg")</f>
        <v>..\..\Imagery\ScannedPhotos\1984\CG84-495.6.jpg</v>
      </c>
    </row>
    <row r="2849" spans="1:13" x14ac:dyDescent="0.25">
      <c r="A2849" t="s">
        <v>6990</v>
      </c>
      <c r="B2849">
        <v>390346</v>
      </c>
      <c r="C2849">
        <v>6000661</v>
      </c>
      <c r="D2849">
        <v>21</v>
      </c>
      <c r="E2849" t="s">
        <v>15</v>
      </c>
      <c r="F2849" t="s">
        <v>6991</v>
      </c>
      <c r="G2849">
        <v>1</v>
      </c>
      <c r="H2849" t="s">
        <v>651</v>
      </c>
      <c r="I2849" t="s">
        <v>375</v>
      </c>
      <c r="J2849" t="s">
        <v>652</v>
      </c>
      <c r="K2849" t="s">
        <v>20</v>
      </c>
      <c r="L2849" t="s">
        <v>1601</v>
      </c>
      <c r="M2849" s="3" t="str">
        <f>HYPERLINK("..\..\Imagery\ScannedPhotos\1980\NN80-056.jpg")</f>
        <v>..\..\Imagery\ScannedPhotos\1980\NN80-056.jpg</v>
      </c>
    </row>
    <row r="2850" spans="1:13" x14ac:dyDescent="0.25">
      <c r="A2850" t="s">
        <v>6992</v>
      </c>
      <c r="B2850">
        <v>389816</v>
      </c>
      <c r="C2850">
        <v>6000551</v>
      </c>
      <c r="D2850">
        <v>21</v>
      </c>
      <c r="E2850" t="s">
        <v>15</v>
      </c>
      <c r="F2850" t="s">
        <v>6993</v>
      </c>
      <c r="G2850">
        <v>2</v>
      </c>
      <c r="H2850" t="s">
        <v>651</v>
      </c>
      <c r="I2850" t="s">
        <v>94</v>
      </c>
      <c r="J2850" t="s">
        <v>652</v>
      </c>
      <c r="K2850" t="s">
        <v>20</v>
      </c>
      <c r="L2850" t="s">
        <v>6994</v>
      </c>
      <c r="M2850" s="3" t="str">
        <f>HYPERLINK("..\..\Imagery\ScannedPhotos\1980\NN80-057.1.jpg")</f>
        <v>..\..\Imagery\ScannedPhotos\1980\NN80-057.1.jpg</v>
      </c>
    </row>
    <row r="2851" spans="1:13" x14ac:dyDescent="0.25">
      <c r="A2851" t="s">
        <v>6995</v>
      </c>
      <c r="B2851">
        <v>566421</v>
      </c>
      <c r="C2851">
        <v>5767765</v>
      </c>
      <c r="D2851">
        <v>21</v>
      </c>
      <c r="E2851" t="s">
        <v>15</v>
      </c>
      <c r="F2851" t="s">
        <v>6996</v>
      </c>
      <c r="G2851">
        <v>2</v>
      </c>
      <c r="H2851" t="s">
        <v>2916</v>
      </c>
      <c r="I2851" t="s">
        <v>386</v>
      </c>
      <c r="J2851" t="s">
        <v>797</v>
      </c>
      <c r="K2851" t="s">
        <v>56</v>
      </c>
      <c r="L2851" t="s">
        <v>6997</v>
      </c>
      <c r="M2851" s="3" t="str">
        <f>HYPERLINK("..\..\Imagery\ScannedPhotos\1987\VN87-270.2.jpg")</f>
        <v>..\..\Imagery\ScannedPhotos\1987\VN87-270.2.jpg</v>
      </c>
    </row>
    <row r="2852" spans="1:13" x14ac:dyDescent="0.25">
      <c r="A2852" t="s">
        <v>6998</v>
      </c>
      <c r="B2852">
        <v>590101</v>
      </c>
      <c r="C2852">
        <v>5812179</v>
      </c>
      <c r="D2852">
        <v>21</v>
      </c>
      <c r="E2852" t="s">
        <v>15</v>
      </c>
      <c r="F2852" t="s">
        <v>6999</v>
      </c>
      <c r="G2852">
        <v>1</v>
      </c>
      <c r="H2852" t="s">
        <v>2916</v>
      </c>
      <c r="I2852" t="s">
        <v>217</v>
      </c>
      <c r="J2852" t="s">
        <v>797</v>
      </c>
      <c r="K2852" t="s">
        <v>56</v>
      </c>
      <c r="L2852" t="s">
        <v>7000</v>
      </c>
      <c r="M2852" s="3" t="str">
        <f>HYPERLINK("..\..\Imagery\ScannedPhotos\1987\VN87-281.jpg")</f>
        <v>..\..\Imagery\ScannedPhotos\1987\VN87-281.jpg</v>
      </c>
    </row>
    <row r="2853" spans="1:13" x14ac:dyDescent="0.25">
      <c r="A2853" t="s">
        <v>7001</v>
      </c>
      <c r="B2853">
        <v>355885</v>
      </c>
      <c r="C2853">
        <v>5862194</v>
      </c>
      <c r="D2853">
        <v>21</v>
      </c>
      <c r="E2853" t="s">
        <v>15</v>
      </c>
      <c r="F2853" t="s">
        <v>7002</v>
      </c>
      <c r="G2853">
        <v>1</v>
      </c>
      <c r="H2853" t="s">
        <v>259</v>
      </c>
      <c r="I2853" t="s">
        <v>85</v>
      </c>
      <c r="J2853" t="s">
        <v>260</v>
      </c>
      <c r="K2853" t="s">
        <v>56</v>
      </c>
      <c r="L2853" t="s">
        <v>7003</v>
      </c>
      <c r="M2853" s="3" t="str">
        <f>HYPERLINK("..\..\Imagery\ScannedPhotos\1998\CG98-043.jpg")</f>
        <v>..\..\Imagery\ScannedPhotos\1998\CG98-043.jpg</v>
      </c>
    </row>
    <row r="2854" spans="1:13" x14ac:dyDescent="0.25">
      <c r="A2854" t="s">
        <v>7004</v>
      </c>
      <c r="B2854">
        <v>333700</v>
      </c>
      <c r="C2854">
        <v>5864925</v>
      </c>
      <c r="D2854">
        <v>21</v>
      </c>
      <c r="E2854" t="s">
        <v>15</v>
      </c>
      <c r="F2854" t="s">
        <v>7005</v>
      </c>
      <c r="G2854">
        <v>1</v>
      </c>
      <c r="H2854" t="s">
        <v>259</v>
      </c>
      <c r="I2854" t="s">
        <v>375</v>
      </c>
      <c r="J2854" t="s">
        <v>260</v>
      </c>
      <c r="K2854" t="s">
        <v>56</v>
      </c>
      <c r="L2854" t="s">
        <v>7006</v>
      </c>
      <c r="M2854" s="3" t="str">
        <f>HYPERLINK("..\..\Imagery\ScannedPhotos\1998\CG98-052.jpg")</f>
        <v>..\..\Imagery\ScannedPhotos\1998\CG98-052.jpg</v>
      </c>
    </row>
    <row r="2855" spans="1:13" x14ac:dyDescent="0.25">
      <c r="A2855" t="s">
        <v>4804</v>
      </c>
      <c r="B2855">
        <v>535160</v>
      </c>
      <c r="C2855">
        <v>5733190</v>
      </c>
      <c r="D2855">
        <v>21</v>
      </c>
      <c r="E2855" t="s">
        <v>15</v>
      </c>
      <c r="F2855" t="s">
        <v>7007</v>
      </c>
      <c r="G2855">
        <v>8</v>
      </c>
      <c r="H2855" t="s">
        <v>2355</v>
      </c>
      <c r="I2855" t="s">
        <v>41</v>
      </c>
      <c r="J2855" t="s">
        <v>886</v>
      </c>
      <c r="K2855" t="s">
        <v>20</v>
      </c>
      <c r="L2855" t="s">
        <v>7008</v>
      </c>
      <c r="M2855" s="3" t="str">
        <f>HYPERLINK("..\..\Imagery\ScannedPhotos\1993\VN93-048.3.jpg")</f>
        <v>..\..\Imagery\ScannedPhotos\1993\VN93-048.3.jpg</v>
      </c>
    </row>
    <row r="2856" spans="1:13" x14ac:dyDescent="0.25">
      <c r="A2856" t="s">
        <v>7009</v>
      </c>
      <c r="B2856">
        <v>535650</v>
      </c>
      <c r="C2856">
        <v>5732710</v>
      </c>
      <c r="D2856">
        <v>21</v>
      </c>
      <c r="E2856" t="s">
        <v>15</v>
      </c>
      <c r="F2856" t="s">
        <v>7010</v>
      </c>
      <c r="G2856">
        <v>1</v>
      </c>
      <c r="H2856" t="s">
        <v>1061</v>
      </c>
      <c r="I2856" t="s">
        <v>79</v>
      </c>
      <c r="J2856" t="s">
        <v>1062</v>
      </c>
      <c r="K2856" t="s">
        <v>20</v>
      </c>
      <c r="L2856" t="s">
        <v>7011</v>
      </c>
      <c r="M2856" s="3" t="str">
        <f>HYPERLINK("..\..\Imagery\ScannedPhotos\1993\CG93-001.jpg")</f>
        <v>..\..\Imagery\ScannedPhotos\1993\CG93-001.jpg</v>
      </c>
    </row>
    <row r="2857" spans="1:13" x14ac:dyDescent="0.25">
      <c r="A2857" t="s">
        <v>7012</v>
      </c>
      <c r="B2857">
        <v>535956</v>
      </c>
      <c r="C2857">
        <v>5732768</v>
      </c>
      <c r="D2857">
        <v>21</v>
      </c>
      <c r="E2857" t="s">
        <v>15</v>
      </c>
      <c r="F2857" t="s">
        <v>7013</v>
      </c>
      <c r="G2857">
        <v>1</v>
      </c>
      <c r="H2857" t="s">
        <v>1061</v>
      </c>
      <c r="I2857" t="s">
        <v>281</v>
      </c>
      <c r="J2857" t="s">
        <v>1062</v>
      </c>
      <c r="K2857" t="s">
        <v>20</v>
      </c>
      <c r="L2857" t="s">
        <v>7014</v>
      </c>
      <c r="M2857" s="3" t="str">
        <f>HYPERLINK("..\..\Imagery\ScannedPhotos\1993\CG93-002.jpg")</f>
        <v>..\..\Imagery\ScannedPhotos\1993\CG93-002.jpg</v>
      </c>
    </row>
    <row r="2858" spans="1:13" x14ac:dyDescent="0.25">
      <c r="A2858" t="s">
        <v>7015</v>
      </c>
      <c r="B2858">
        <v>536100</v>
      </c>
      <c r="C2858">
        <v>5732800</v>
      </c>
      <c r="D2858">
        <v>21</v>
      </c>
      <c r="E2858" t="s">
        <v>15</v>
      </c>
      <c r="F2858" t="s">
        <v>7016</v>
      </c>
      <c r="G2858">
        <v>1</v>
      </c>
      <c r="H2858" t="s">
        <v>1061</v>
      </c>
      <c r="I2858" t="s">
        <v>137</v>
      </c>
      <c r="J2858" t="s">
        <v>1062</v>
      </c>
      <c r="K2858" t="s">
        <v>56</v>
      </c>
      <c r="L2858" t="s">
        <v>7017</v>
      </c>
      <c r="M2858" s="3" t="str">
        <f>HYPERLINK("..\..\Imagery\ScannedPhotos\1993\CG93-003.jpg")</f>
        <v>..\..\Imagery\ScannedPhotos\1993\CG93-003.jpg</v>
      </c>
    </row>
    <row r="2859" spans="1:13" x14ac:dyDescent="0.25">
      <c r="A2859" t="s">
        <v>7018</v>
      </c>
      <c r="B2859">
        <v>534900</v>
      </c>
      <c r="C2859">
        <v>5732595</v>
      </c>
      <c r="D2859">
        <v>21</v>
      </c>
      <c r="E2859" t="s">
        <v>15</v>
      </c>
      <c r="F2859" t="s">
        <v>7019</v>
      </c>
      <c r="G2859">
        <v>1</v>
      </c>
      <c r="H2859" t="s">
        <v>1061</v>
      </c>
      <c r="I2859" t="s">
        <v>18</v>
      </c>
      <c r="J2859" t="s">
        <v>1062</v>
      </c>
      <c r="K2859" t="s">
        <v>20</v>
      </c>
      <c r="L2859" t="s">
        <v>7020</v>
      </c>
      <c r="M2859" s="3" t="str">
        <f>HYPERLINK("..\..\Imagery\ScannedPhotos\1993\CG93-006.jpg")</f>
        <v>..\..\Imagery\ScannedPhotos\1993\CG93-006.jpg</v>
      </c>
    </row>
    <row r="2860" spans="1:13" x14ac:dyDescent="0.25">
      <c r="A2860" t="s">
        <v>7021</v>
      </c>
      <c r="B2860">
        <v>534684</v>
      </c>
      <c r="C2860">
        <v>5732576</v>
      </c>
      <c r="D2860">
        <v>21</v>
      </c>
      <c r="E2860" t="s">
        <v>15</v>
      </c>
      <c r="F2860" t="s">
        <v>7022</v>
      </c>
      <c r="G2860">
        <v>2</v>
      </c>
      <c r="H2860" t="s">
        <v>1061</v>
      </c>
      <c r="I2860" t="s">
        <v>35</v>
      </c>
      <c r="J2860" t="s">
        <v>1062</v>
      </c>
      <c r="K2860" t="s">
        <v>56</v>
      </c>
      <c r="L2860" t="s">
        <v>7023</v>
      </c>
      <c r="M2860" s="3" t="str">
        <f>HYPERLINK("..\..\Imagery\ScannedPhotos\1993\CG93-007.1.jpg")</f>
        <v>..\..\Imagery\ScannedPhotos\1993\CG93-007.1.jpg</v>
      </c>
    </row>
    <row r="2861" spans="1:13" x14ac:dyDescent="0.25">
      <c r="A2861" t="s">
        <v>7021</v>
      </c>
      <c r="B2861">
        <v>534684</v>
      </c>
      <c r="C2861">
        <v>5732576</v>
      </c>
      <c r="D2861">
        <v>21</v>
      </c>
      <c r="E2861" t="s">
        <v>15</v>
      </c>
      <c r="F2861" t="s">
        <v>7024</v>
      </c>
      <c r="G2861">
        <v>2</v>
      </c>
      <c r="H2861" t="s">
        <v>1061</v>
      </c>
      <c r="I2861" t="s">
        <v>69</v>
      </c>
      <c r="J2861" t="s">
        <v>1062</v>
      </c>
      <c r="K2861" t="s">
        <v>56</v>
      </c>
      <c r="L2861" t="s">
        <v>7025</v>
      </c>
      <c r="M2861" s="3" t="str">
        <f>HYPERLINK("..\..\Imagery\ScannedPhotos\1993\CG93-007.2.jpg")</f>
        <v>..\..\Imagery\ScannedPhotos\1993\CG93-007.2.jpg</v>
      </c>
    </row>
    <row r="2862" spans="1:13" x14ac:dyDescent="0.25">
      <c r="A2862" t="s">
        <v>7026</v>
      </c>
      <c r="B2862">
        <v>530690</v>
      </c>
      <c r="C2862">
        <v>5731870</v>
      </c>
      <c r="D2862">
        <v>21</v>
      </c>
      <c r="E2862" t="s">
        <v>15</v>
      </c>
      <c r="F2862" t="s">
        <v>7027</v>
      </c>
      <c r="G2862">
        <v>3</v>
      </c>
      <c r="H2862" t="s">
        <v>1061</v>
      </c>
      <c r="I2862" t="s">
        <v>41</v>
      </c>
      <c r="J2862" t="s">
        <v>1062</v>
      </c>
      <c r="K2862" t="s">
        <v>20</v>
      </c>
      <c r="L2862" t="s">
        <v>7028</v>
      </c>
      <c r="M2862" s="3" t="str">
        <f>HYPERLINK("..\..\Imagery\ScannedPhotos\1993\CG93-014.2.jpg")</f>
        <v>..\..\Imagery\ScannedPhotos\1993\CG93-014.2.jpg</v>
      </c>
    </row>
    <row r="2863" spans="1:13" x14ac:dyDescent="0.25">
      <c r="A2863" t="s">
        <v>7026</v>
      </c>
      <c r="B2863">
        <v>530690</v>
      </c>
      <c r="C2863">
        <v>5731870</v>
      </c>
      <c r="D2863">
        <v>21</v>
      </c>
      <c r="E2863" t="s">
        <v>15</v>
      </c>
      <c r="F2863" t="s">
        <v>7029</v>
      </c>
      <c r="G2863">
        <v>3</v>
      </c>
      <c r="H2863" t="s">
        <v>1061</v>
      </c>
      <c r="I2863" t="s">
        <v>74</v>
      </c>
      <c r="J2863" t="s">
        <v>1062</v>
      </c>
      <c r="K2863" t="s">
        <v>20</v>
      </c>
      <c r="L2863" t="s">
        <v>4149</v>
      </c>
      <c r="M2863" s="3" t="str">
        <f>HYPERLINK("..\..\Imagery\ScannedPhotos\1993\CG93-014.1.jpg")</f>
        <v>..\..\Imagery\ScannedPhotos\1993\CG93-014.1.jpg</v>
      </c>
    </row>
    <row r="2864" spans="1:13" x14ac:dyDescent="0.25">
      <c r="A2864" t="s">
        <v>4544</v>
      </c>
      <c r="B2864">
        <v>452965</v>
      </c>
      <c r="C2864">
        <v>5913747</v>
      </c>
      <c r="D2864">
        <v>21</v>
      </c>
      <c r="E2864" t="s">
        <v>15</v>
      </c>
      <c r="F2864" t="s">
        <v>7030</v>
      </c>
      <c r="G2864">
        <v>2</v>
      </c>
      <c r="H2864" t="s">
        <v>1333</v>
      </c>
      <c r="I2864" t="s">
        <v>79</v>
      </c>
      <c r="J2864" t="s">
        <v>1334</v>
      </c>
      <c r="K2864" t="s">
        <v>20</v>
      </c>
      <c r="L2864" t="s">
        <v>4546</v>
      </c>
      <c r="M2864" s="3" t="str">
        <f>HYPERLINK("..\..\Imagery\ScannedPhotos\1984\CG84-111.2.jpg")</f>
        <v>..\..\Imagery\ScannedPhotos\1984\CG84-111.2.jpg</v>
      </c>
    </row>
    <row r="2865" spans="1:13" x14ac:dyDescent="0.25">
      <c r="A2865" t="s">
        <v>7031</v>
      </c>
      <c r="B2865">
        <v>457366</v>
      </c>
      <c r="C2865">
        <v>5927559</v>
      </c>
      <c r="D2865">
        <v>21</v>
      </c>
      <c r="E2865" t="s">
        <v>15</v>
      </c>
      <c r="F2865" t="s">
        <v>7032</v>
      </c>
      <c r="G2865">
        <v>1</v>
      </c>
      <c r="H2865" t="s">
        <v>1333</v>
      </c>
      <c r="I2865" t="s">
        <v>69</v>
      </c>
      <c r="J2865" t="s">
        <v>1334</v>
      </c>
      <c r="K2865" t="s">
        <v>56</v>
      </c>
      <c r="L2865" t="s">
        <v>7033</v>
      </c>
      <c r="M2865" s="3" t="str">
        <f>HYPERLINK("..\..\Imagery\ScannedPhotos\1984\CG84-126.jpg")</f>
        <v>..\..\Imagery\ScannedPhotos\1984\CG84-126.jpg</v>
      </c>
    </row>
    <row r="2866" spans="1:13" x14ac:dyDescent="0.25">
      <c r="A2866" t="s">
        <v>7034</v>
      </c>
      <c r="B2866">
        <v>457291</v>
      </c>
      <c r="C2866">
        <v>5926581</v>
      </c>
      <c r="D2866">
        <v>21</v>
      </c>
      <c r="E2866" t="s">
        <v>15</v>
      </c>
      <c r="F2866" t="s">
        <v>7035</v>
      </c>
      <c r="G2866">
        <v>1</v>
      </c>
      <c r="H2866" t="s">
        <v>1333</v>
      </c>
      <c r="I2866" t="s">
        <v>74</v>
      </c>
      <c r="J2866" t="s">
        <v>1334</v>
      </c>
      <c r="K2866" t="s">
        <v>20</v>
      </c>
      <c r="L2866" t="s">
        <v>7036</v>
      </c>
      <c r="M2866" s="3" t="str">
        <f>HYPERLINK("..\..\Imagery\ScannedPhotos\1984\CG84-127.jpg")</f>
        <v>..\..\Imagery\ScannedPhotos\1984\CG84-127.jpg</v>
      </c>
    </row>
    <row r="2867" spans="1:13" x14ac:dyDescent="0.25">
      <c r="A2867" t="s">
        <v>7037</v>
      </c>
      <c r="B2867">
        <v>451143</v>
      </c>
      <c r="C2867">
        <v>5918393</v>
      </c>
      <c r="D2867">
        <v>21</v>
      </c>
      <c r="E2867" t="s">
        <v>15</v>
      </c>
      <c r="F2867" t="s">
        <v>7038</v>
      </c>
      <c r="G2867">
        <v>4</v>
      </c>
      <c r="H2867" t="s">
        <v>2895</v>
      </c>
      <c r="I2867" t="s">
        <v>304</v>
      </c>
      <c r="J2867" t="s">
        <v>2896</v>
      </c>
      <c r="K2867" t="s">
        <v>228</v>
      </c>
      <c r="L2867" t="s">
        <v>7039</v>
      </c>
      <c r="M2867" s="3" t="str">
        <f>HYPERLINK("..\..\Imagery\ScannedPhotos\1984\CG84-136.4.jpg")</f>
        <v>..\..\Imagery\ScannedPhotos\1984\CG84-136.4.jpg</v>
      </c>
    </row>
    <row r="2868" spans="1:13" x14ac:dyDescent="0.25">
      <c r="A2868" t="s">
        <v>7037</v>
      </c>
      <c r="B2868">
        <v>451143</v>
      </c>
      <c r="C2868">
        <v>5918393</v>
      </c>
      <c r="D2868">
        <v>21</v>
      </c>
      <c r="E2868" t="s">
        <v>15</v>
      </c>
      <c r="F2868" t="s">
        <v>7040</v>
      </c>
      <c r="G2868">
        <v>4</v>
      </c>
      <c r="H2868" t="s">
        <v>1333</v>
      </c>
      <c r="I2868" t="s">
        <v>85</v>
      </c>
      <c r="J2868" t="s">
        <v>1334</v>
      </c>
      <c r="K2868" t="s">
        <v>56</v>
      </c>
      <c r="L2868" t="s">
        <v>7041</v>
      </c>
      <c r="M2868" s="3" t="str">
        <f>HYPERLINK("..\..\Imagery\ScannedPhotos\1984\CG84-136.1.jpg")</f>
        <v>..\..\Imagery\ScannedPhotos\1984\CG84-136.1.jpg</v>
      </c>
    </row>
    <row r="2869" spans="1:13" x14ac:dyDescent="0.25">
      <c r="A2869" t="s">
        <v>7037</v>
      </c>
      <c r="B2869">
        <v>451143</v>
      </c>
      <c r="C2869">
        <v>5918393</v>
      </c>
      <c r="D2869">
        <v>21</v>
      </c>
      <c r="E2869" t="s">
        <v>15</v>
      </c>
      <c r="F2869" t="s">
        <v>7042</v>
      </c>
      <c r="G2869">
        <v>4</v>
      </c>
      <c r="H2869" t="s">
        <v>1333</v>
      </c>
      <c r="I2869" t="s">
        <v>375</v>
      </c>
      <c r="J2869" t="s">
        <v>1334</v>
      </c>
      <c r="K2869" t="s">
        <v>56</v>
      </c>
      <c r="L2869" t="s">
        <v>7041</v>
      </c>
      <c r="M2869" s="3" t="str">
        <f>HYPERLINK("..\..\Imagery\ScannedPhotos\1984\CG84-136.2.jpg")</f>
        <v>..\..\Imagery\ScannedPhotos\1984\CG84-136.2.jpg</v>
      </c>
    </row>
    <row r="2870" spans="1:13" x14ac:dyDescent="0.25">
      <c r="A2870" t="s">
        <v>5457</v>
      </c>
      <c r="B2870">
        <v>453787</v>
      </c>
      <c r="C2870">
        <v>5871500</v>
      </c>
      <c r="D2870">
        <v>21</v>
      </c>
      <c r="E2870" t="s">
        <v>15</v>
      </c>
      <c r="F2870" t="s">
        <v>7043</v>
      </c>
      <c r="G2870">
        <v>2</v>
      </c>
      <c r="H2870" t="s">
        <v>2521</v>
      </c>
      <c r="I2870" t="s">
        <v>418</v>
      </c>
      <c r="J2870" t="s">
        <v>2522</v>
      </c>
      <c r="K2870" t="s">
        <v>20</v>
      </c>
      <c r="L2870" t="s">
        <v>7044</v>
      </c>
      <c r="M2870" s="3" t="str">
        <f>HYPERLINK("..\..\Imagery\ScannedPhotos\1991\VN91-403.1.jpg")</f>
        <v>..\..\Imagery\ScannedPhotos\1991\VN91-403.1.jpg</v>
      </c>
    </row>
    <row r="2871" spans="1:13" x14ac:dyDescent="0.25">
      <c r="A2871" t="s">
        <v>7045</v>
      </c>
      <c r="B2871">
        <v>495034</v>
      </c>
      <c r="C2871">
        <v>5717338</v>
      </c>
      <c r="D2871">
        <v>21</v>
      </c>
      <c r="E2871" t="s">
        <v>15</v>
      </c>
      <c r="F2871" t="s">
        <v>7046</v>
      </c>
      <c r="G2871">
        <v>1</v>
      </c>
      <c r="H2871" t="s">
        <v>1784</v>
      </c>
      <c r="I2871" t="s">
        <v>47</v>
      </c>
      <c r="J2871" t="s">
        <v>1738</v>
      </c>
      <c r="K2871" t="s">
        <v>56</v>
      </c>
      <c r="L2871" t="s">
        <v>7047</v>
      </c>
      <c r="M2871" s="3" t="str">
        <f>HYPERLINK("..\..\Imagery\ScannedPhotos\1993\VN93-324.jpg")</f>
        <v>..\..\Imagery\ScannedPhotos\1993\VN93-324.jpg</v>
      </c>
    </row>
    <row r="2872" spans="1:13" x14ac:dyDescent="0.25">
      <c r="A2872" t="s">
        <v>7048</v>
      </c>
      <c r="B2872">
        <v>553760</v>
      </c>
      <c r="C2872">
        <v>5737280</v>
      </c>
      <c r="D2872">
        <v>21</v>
      </c>
      <c r="E2872" t="s">
        <v>15</v>
      </c>
      <c r="F2872" t="s">
        <v>7049</v>
      </c>
      <c r="G2872">
        <v>2</v>
      </c>
      <c r="H2872" t="s">
        <v>1784</v>
      </c>
      <c r="I2872" t="s">
        <v>65</v>
      </c>
      <c r="J2872" t="s">
        <v>1738</v>
      </c>
      <c r="K2872" t="s">
        <v>20</v>
      </c>
      <c r="L2872" t="s">
        <v>7050</v>
      </c>
      <c r="M2872" s="3" t="str">
        <f>HYPERLINK("..\..\Imagery\ScannedPhotos\1993\VN93-332.2.jpg")</f>
        <v>..\..\Imagery\ScannedPhotos\1993\VN93-332.2.jpg</v>
      </c>
    </row>
    <row r="2873" spans="1:13" x14ac:dyDescent="0.25">
      <c r="A2873" t="s">
        <v>7048</v>
      </c>
      <c r="B2873">
        <v>553760</v>
      </c>
      <c r="C2873">
        <v>5737280</v>
      </c>
      <c r="D2873">
        <v>21</v>
      </c>
      <c r="E2873" t="s">
        <v>15</v>
      </c>
      <c r="F2873" t="s">
        <v>7051</v>
      </c>
      <c r="G2873">
        <v>2</v>
      </c>
      <c r="H2873" t="s">
        <v>1784</v>
      </c>
      <c r="I2873" t="s">
        <v>52</v>
      </c>
      <c r="J2873" t="s">
        <v>1738</v>
      </c>
      <c r="K2873" t="s">
        <v>20</v>
      </c>
      <c r="L2873" t="s">
        <v>7052</v>
      </c>
      <c r="M2873" s="3" t="str">
        <f>HYPERLINK("..\..\Imagery\ScannedPhotos\1993\VN93-332.1.jpg")</f>
        <v>..\..\Imagery\ScannedPhotos\1993\VN93-332.1.jpg</v>
      </c>
    </row>
    <row r="2874" spans="1:13" x14ac:dyDescent="0.25">
      <c r="A2874" t="s">
        <v>7053</v>
      </c>
      <c r="B2874">
        <v>553976</v>
      </c>
      <c r="C2874">
        <v>5737132</v>
      </c>
      <c r="D2874">
        <v>21</v>
      </c>
      <c r="E2874" t="s">
        <v>15</v>
      </c>
      <c r="F2874" t="s">
        <v>7054</v>
      </c>
      <c r="G2874">
        <v>2</v>
      </c>
      <c r="H2874" t="s">
        <v>6322</v>
      </c>
      <c r="I2874" t="s">
        <v>294</v>
      </c>
      <c r="J2874" t="s">
        <v>996</v>
      </c>
      <c r="K2874" t="s">
        <v>20</v>
      </c>
      <c r="L2874" t="s">
        <v>7055</v>
      </c>
      <c r="M2874" s="3" t="str">
        <f>HYPERLINK("..\..\Imagery\ScannedPhotos\1993\VN93-333.1.jpg")</f>
        <v>..\..\Imagery\ScannedPhotos\1993\VN93-333.1.jpg</v>
      </c>
    </row>
    <row r="2875" spans="1:13" x14ac:dyDescent="0.25">
      <c r="A2875" t="s">
        <v>7053</v>
      </c>
      <c r="B2875">
        <v>553976</v>
      </c>
      <c r="C2875">
        <v>5737132</v>
      </c>
      <c r="D2875">
        <v>21</v>
      </c>
      <c r="E2875" t="s">
        <v>15</v>
      </c>
      <c r="F2875" t="s">
        <v>7056</v>
      </c>
      <c r="G2875">
        <v>2</v>
      </c>
      <c r="H2875" t="s">
        <v>6322</v>
      </c>
      <c r="I2875" t="s">
        <v>79</v>
      </c>
      <c r="J2875" t="s">
        <v>996</v>
      </c>
      <c r="K2875" t="s">
        <v>20</v>
      </c>
      <c r="L2875" t="s">
        <v>7055</v>
      </c>
      <c r="M2875" s="3" t="str">
        <f>HYPERLINK("..\..\Imagery\ScannedPhotos\1993\VN93-333.2.jpg")</f>
        <v>..\..\Imagery\ScannedPhotos\1993\VN93-333.2.jpg</v>
      </c>
    </row>
    <row r="2876" spans="1:13" x14ac:dyDescent="0.25">
      <c r="A2876" t="s">
        <v>2519</v>
      </c>
      <c r="B2876">
        <v>434448</v>
      </c>
      <c r="C2876">
        <v>5867130</v>
      </c>
      <c r="D2876">
        <v>21</v>
      </c>
      <c r="E2876" t="s">
        <v>15</v>
      </c>
      <c r="F2876" t="s">
        <v>7057</v>
      </c>
      <c r="G2876">
        <v>7</v>
      </c>
      <c r="H2876" t="s">
        <v>2521</v>
      </c>
      <c r="I2876" t="s">
        <v>147</v>
      </c>
      <c r="J2876" t="s">
        <v>2522</v>
      </c>
      <c r="K2876" t="s">
        <v>20</v>
      </c>
      <c r="L2876" t="s">
        <v>322</v>
      </c>
      <c r="M2876" s="3" t="str">
        <f>HYPERLINK("..\..\Imagery\ScannedPhotos\1991\VN91-424.5.jpg")</f>
        <v>..\..\Imagery\ScannedPhotos\1991\VN91-424.5.jpg</v>
      </c>
    </row>
    <row r="2877" spans="1:13" x14ac:dyDescent="0.25">
      <c r="A2877" t="s">
        <v>7058</v>
      </c>
      <c r="B2877">
        <v>503580</v>
      </c>
      <c r="C2877">
        <v>5703053</v>
      </c>
      <c r="D2877">
        <v>21</v>
      </c>
      <c r="E2877" t="s">
        <v>15</v>
      </c>
      <c r="F2877" t="s">
        <v>7059</v>
      </c>
      <c r="G2877">
        <v>1</v>
      </c>
      <c r="H2877" t="s">
        <v>1076</v>
      </c>
      <c r="I2877" t="s">
        <v>647</v>
      </c>
      <c r="J2877" t="s">
        <v>570</v>
      </c>
      <c r="K2877" t="s">
        <v>56</v>
      </c>
      <c r="L2877" t="s">
        <v>7060</v>
      </c>
      <c r="M2877" s="3" t="str">
        <f>HYPERLINK("..\..\Imagery\ScannedPhotos\1993\CG93-280.jpg")</f>
        <v>..\..\Imagery\ScannedPhotos\1993\CG93-280.jpg</v>
      </c>
    </row>
    <row r="2878" spans="1:13" x14ac:dyDescent="0.25">
      <c r="A2878" t="s">
        <v>7061</v>
      </c>
      <c r="B2878">
        <v>537282</v>
      </c>
      <c r="C2878">
        <v>5775462</v>
      </c>
      <c r="D2878">
        <v>21</v>
      </c>
      <c r="E2878" t="s">
        <v>15</v>
      </c>
      <c r="F2878" t="s">
        <v>7062</v>
      </c>
      <c r="G2878">
        <v>1</v>
      </c>
      <c r="H2878" t="s">
        <v>2480</v>
      </c>
      <c r="I2878" t="s">
        <v>74</v>
      </c>
      <c r="J2878" t="s">
        <v>1619</v>
      </c>
      <c r="K2878" t="s">
        <v>20</v>
      </c>
      <c r="L2878" t="s">
        <v>7063</v>
      </c>
      <c r="M2878" s="3" t="str">
        <f>HYPERLINK("..\..\Imagery\ScannedPhotos\1987\JS87-324.jpg")</f>
        <v>..\..\Imagery\ScannedPhotos\1987\JS87-324.jpg</v>
      </c>
    </row>
    <row r="2879" spans="1:13" x14ac:dyDescent="0.25">
      <c r="A2879" t="s">
        <v>7064</v>
      </c>
      <c r="B2879">
        <v>538188</v>
      </c>
      <c r="C2879">
        <v>5762904</v>
      </c>
      <c r="D2879">
        <v>21</v>
      </c>
      <c r="E2879" t="s">
        <v>15</v>
      </c>
      <c r="F2879" t="s">
        <v>7065</v>
      </c>
      <c r="G2879">
        <v>1</v>
      </c>
      <c r="H2879" t="s">
        <v>2480</v>
      </c>
      <c r="I2879" t="s">
        <v>85</v>
      </c>
      <c r="J2879" t="s">
        <v>1619</v>
      </c>
      <c r="K2879" t="s">
        <v>20</v>
      </c>
      <c r="L2879" t="s">
        <v>7066</v>
      </c>
      <c r="M2879" s="3" t="str">
        <f>HYPERLINK("..\..\Imagery\ScannedPhotos\1987\JS87-341.jpg")</f>
        <v>..\..\Imagery\ScannedPhotos\1987\JS87-341.jpg</v>
      </c>
    </row>
    <row r="2880" spans="1:13" x14ac:dyDescent="0.25">
      <c r="A2880" t="s">
        <v>7067</v>
      </c>
      <c r="B2880">
        <v>588114</v>
      </c>
      <c r="C2880">
        <v>5811421</v>
      </c>
      <c r="D2880">
        <v>21</v>
      </c>
      <c r="E2880" t="s">
        <v>15</v>
      </c>
      <c r="F2880" t="s">
        <v>7068</v>
      </c>
      <c r="G2880">
        <v>1</v>
      </c>
      <c r="H2880" t="s">
        <v>2480</v>
      </c>
      <c r="I2880" t="s">
        <v>375</v>
      </c>
      <c r="J2880" t="s">
        <v>1619</v>
      </c>
      <c r="K2880" t="s">
        <v>20</v>
      </c>
      <c r="L2880" t="s">
        <v>7069</v>
      </c>
      <c r="M2880" s="3" t="str">
        <f>HYPERLINK("..\..\Imagery\ScannedPhotos\1987\JS87-354.jpg")</f>
        <v>..\..\Imagery\ScannedPhotos\1987\JS87-354.jpg</v>
      </c>
    </row>
    <row r="2881" spans="1:13" x14ac:dyDescent="0.25">
      <c r="A2881" t="s">
        <v>7070</v>
      </c>
      <c r="B2881">
        <v>588669</v>
      </c>
      <c r="C2881">
        <v>5811002</v>
      </c>
      <c r="D2881">
        <v>21</v>
      </c>
      <c r="E2881" t="s">
        <v>15</v>
      </c>
      <c r="F2881" t="s">
        <v>7071</v>
      </c>
      <c r="G2881">
        <v>1</v>
      </c>
      <c r="H2881" t="s">
        <v>2480</v>
      </c>
      <c r="I2881" t="s">
        <v>94</v>
      </c>
      <c r="J2881" t="s">
        <v>1619</v>
      </c>
      <c r="K2881" t="s">
        <v>56</v>
      </c>
      <c r="L2881" t="s">
        <v>1020</v>
      </c>
      <c r="M2881" s="3" t="str">
        <f>HYPERLINK("..\..\Imagery\ScannedPhotos\1987\JS87-365.jpg")</f>
        <v>..\..\Imagery\ScannedPhotos\1987\JS87-365.jpg</v>
      </c>
    </row>
    <row r="2882" spans="1:13" x14ac:dyDescent="0.25">
      <c r="A2882" t="s">
        <v>7072</v>
      </c>
      <c r="B2882">
        <v>373169</v>
      </c>
      <c r="C2882">
        <v>5985247</v>
      </c>
      <c r="D2882">
        <v>21</v>
      </c>
      <c r="E2882" t="s">
        <v>15</v>
      </c>
      <c r="F2882" t="s">
        <v>7073</v>
      </c>
      <c r="G2882">
        <v>5</v>
      </c>
      <c r="H2882" t="s">
        <v>4559</v>
      </c>
      <c r="I2882" t="s">
        <v>222</v>
      </c>
      <c r="J2882" t="s">
        <v>4560</v>
      </c>
      <c r="K2882" t="s">
        <v>20</v>
      </c>
      <c r="L2882" t="s">
        <v>7074</v>
      </c>
      <c r="M2882" s="3" t="str">
        <f>HYPERLINK("..\..\Imagery\ScannedPhotos\1980\NN80-286.3.jpg")</f>
        <v>..\..\Imagery\ScannedPhotos\1980\NN80-286.3.jpg</v>
      </c>
    </row>
    <row r="2883" spans="1:13" x14ac:dyDescent="0.25">
      <c r="A2883" t="s">
        <v>7072</v>
      </c>
      <c r="B2883">
        <v>373169</v>
      </c>
      <c r="C2883">
        <v>5985247</v>
      </c>
      <c r="D2883">
        <v>21</v>
      </c>
      <c r="E2883" t="s">
        <v>15</v>
      </c>
      <c r="F2883" t="s">
        <v>7075</v>
      </c>
      <c r="G2883">
        <v>5</v>
      </c>
      <c r="H2883" t="s">
        <v>4559</v>
      </c>
      <c r="I2883" t="s">
        <v>217</v>
      </c>
      <c r="J2883" t="s">
        <v>4560</v>
      </c>
      <c r="K2883" t="s">
        <v>20</v>
      </c>
      <c r="L2883" t="s">
        <v>7076</v>
      </c>
      <c r="M2883" s="3" t="str">
        <f>HYPERLINK("..\..\Imagery\ScannedPhotos\1980\NN80-286.1.jpg")</f>
        <v>..\..\Imagery\ScannedPhotos\1980\NN80-286.1.jpg</v>
      </c>
    </row>
    <row r="2884" spans="1:13" x14ac:dyDescent="0.25">
      <c r="A2884" t="s">
        <v>7072</v>
      </c>
      <c r="B2884">
        <v>373169</v>
      </c>
      <c r="C2884">
        <v>5985247</v>
      </c>
      <c r="D2884">
        <v>21</v>
      </c>
      <c r="E2884" t="s">
        <v>15</v>
      </c>
      <c r="F2884" t="s">
        <v>7077</v>
      </c>
      <c r="G2884">
        <v>5</v>
      </c>
      <c r="H2884" t="s">
        <v>4559</v>
      </c>
      <c r="I2884" t="s">
        <v>214</v>
      </c>
      <c r="J2884" t="s">
        <v>4560</v>
      </c>
      <c r="K2884" t="s">
        <v>20</v>
      </c>
      <c r="L2884" t="s">
        <v>7078</v>
      </c>
      <c r="M2884" s="3" t="str">
        <f>HYPERLINK("..\..\Imagery\ScannedPhotos\1980\NN80-286.2.jpg")</f>
        <v>..\..\Imagery\ScannedPhotos\1980\NN80-286.2.jpg</v>
      </c>
    </row>
    <row r="2885" spans="1:13" x14ac:dyDescent="0.25">
      <c r="A2885" t="s">
        <v>7072</v>
      </c>
      <c r="B2885">
        <v>373169</v>
      </c>
      <c r="C2885">
        <v>5985247</v>
      </c>
      <c r="D2885">
        <v>21</v>
      </c>
      <c r="E2885" t="s">
        <v>15</v>
      </c>
      <c r="F2885" t="s">
        <v>7079</v>
      </c>
      <c r="G2885">
        <v>5</v>
      </c>
      <c r="H2885" t="s">
        <v>4559</v>
      </c>
      <c r="I2885" t="s">
        <v>304</v>
      </c>
      <c r="J2885" t="s">
        <v>4560</v>
      </c>
      <c r="K2885" t="s">
        <v>20</v>
      </c>
      <c r="L2885" t="s">
        <v>7080</v>
      </c>
      <c r="M2885" s="3" t="str">
        <f>HYPERLINK("..\..\Imagery\ScannedPhotos\1980\NN80-286.5.jpg")</f>
        <v>..\..\Imagery\ScannedPhotos\1980\NN80-286.5.jpg</v>
      </c>
    </row>
    <row r="2886" spans="1:13" x14ac:dyDescent="0.25">
      <c r="A2886" t="s">
        <v>7081</v>
      </c>
      <c r="B2886">
        <v>375240</v>
      </c>
      <c r="C2886">
        <v>5984806</v>
      </c>
      <c r="D2886">
        <v>21</v>
      </c>
      <c r="E2886" t="s">
        <v>15</v>
      </c>
      <c r="F2886" t="s">
        <v>7082</v>
      </c>
      <c r="G2886">
        <v>1</v>
      </c>
      <c r="H2886" t="s">
        <v>4559</v>
      </c>
      <c r="I2886" t="s">
        <v>108</v>
      </c>
      <c r="J2886" t="s">
        <v>4560</v>
      </c>
      <c r="K2886" t="s">
        <v>20</v>
      </c>
      <c r="L2886" t="s">
        <v>7083</v>
      </c>
      <c r="M2886" s="3" t="str">
        <f>HYPERLINK("..\..\Imagery\ScannedPhotos\1980\NN80-336.jpg")</f>
        <v>..\..\Imagery\ScannedPhotos\1980\NN80-336.jpg</v>
      </c>
    </row>
    <row r="2887" spans="1:13" x14ac:dyDescent="0.25">
      <c r="A2887" t="s">
        <v>4557</v>
      </c>
      <c r="B2887">
        <v>377974</v>
      </c>
      <c r="C2887">
        <v>5981853</v>
      </c>
      <c r="D2887">
        <v>21</v>
      </c>
      <c r="E2887" t="s">
        <v>15</v>
      </c>
      <c r="F2887" t="s">
        <v>7084</v>
      </c>
      <c r="G2887">
        <v>2</v>
      </c>
      <c r="H2887" t="s">
        <v>4559</v>
      </c>
      <c r="I2887" t="s">
        <v>132</v>
      </c>
      <c r="J2887" t="s">
        <v>4560</v>
      </c>
      <c r="K2887" t="s">
        <v>56</v>
      </c>
      <c r="L2887" t="s">
        <v>4561</v>
      </c>
      <c r="M2887" s="3" t="str">
        <f>HYPERLINK("..\..\Imagery\ScannedPhotos\1980\NN80-350.1.jpg")</f>
        <v>..\..\Imagery\ScannedPhotos\1980\NN80-350.1.jpg</v>
      </c>
    </row>
    <row r="2888" spans="1:13" x14ac:dyDescent="0.25">
      <c r="A2888" t="s">
        <v>7085</v>
      </c>
      <c r="B2888">
        <v>382246</v>
      </c>
      <c r="C2888">
        <v>5990596</v>
      </c>
      <c r="D2888">
        <v>21</v>
      </c>
      <c r="E2888" t="s">
        <v>15</v>
      </c>
      <c r="F2888" t="s">
        <v>7086</v>
      </c>
      <c r="G2888">
        <v>1</v>
      </c>
      <c r="H2888" t="s">
        <v>806</v>
      </c>
      <c r="I2888" t="s">
        <v>209</v>
      </c>
      <c r="J2888" t="s">
        <v>807</v>
      </c>
      <c r="K2888" t="s">
        <v>20</v>
      </c>
      <c r="L2888" t="s">
        <v>7087</v>
      </c>
      <c r="M2888" s="3" t="str">
        <f>HYPERLINK("..\..\Imagery\ScannedPhotos\1980\CG80-587.jpg")</f>
        <v>..\..\Imagery\ScannedPhotos\1980\CG80-587.jpg</v>
      </c>
    </row>
    <row r="2889" spans="1:13" x14ac:dyDescent="0.25">
      <c r="A2889" t="s">
        <v>7088</v>
      </c>
      <c r="B2889">
        <v>395254</v>
      </c>
      <c r="C2889">
        <v>5921606</v>
      </c>
      <c r="D2889">
        <v>21</v>
      </c>
      <c r="E2889" t="s">
        <v>15</v>
      </c>
      <c r="F2889" t="s">
        <v>7089</v>
      </c>
      <c r="G2889">
        <v>2</v>
      </c>
      <c r="H2889" t="s">
        <v>1826</v>
      </c>
      <c r="I2889" t="s">
        <v>281</v>
      </c>
      <c r="J2889" t="s">
        <v>557</v>
      </c>
      <c r="K2889" t="s">
        <v>20</v>
      </c>
      <c r="L2889" t="s">
        <v>7090</v>
      </c>
      <c r="M2889" s="3" t="str">
        <f>HYPERLINK("..\..\Imagery\ScannedPhotos\1995\CG95-142.1.jpg")</f>
        <v>..\..\Imagery\ScannedPhotos\1995\CG95-142.1.jpg</v>
      </c>
    </row>
    <row r="2890" spans="1:13" x14ac:dyDescent="0.25">
      <c r="A2890" t="s">
        <v>7088</v>
      </c>
      <c r="B2890">
        <v>395254</v>
      </c>
      <c r="C2890">
        <v>5921606</v>
      </c>
      <c r="D2890">
        <v>21</v>
      </c>
      <c r="E2890" t="s">
        <v>15</v>
      </c>
      <c r="F2890" t="s">
        <v>7091</v>
      </c>
      <c r="G2890">
        <v>2</v>
      </c>
      <c r="H2890" t="s">
        <v>1826</v>
      </c>
      <c r="I2890" t="s">
        <v>137</v>
      </c>
      <c r="J2890" t="s">
        <v>557</v>
      </c>
      <c r="K2890" t="s">
        <v>20</v>
      </c>
      <c r="L2890" t="s">
        <v>7090</v>
      </c>
      <c r="M2890" s="3" t="str">
        <f>HYPERLINK("..\..\Imagery\ScannedPhotos\1995\CG95-142.2.jpg")</f>
        <v>..\..\Imagery\ScannedPhotos\1995\CG95-142.2.jpg</v>
      </c>
    </row>
    <row r="2891" spans="1:13" x14ac:dyDescent="0.25">
      <c r="A2891" t="s">
        <v>7092</v>
      </c>
      <c r="B2891">
        <v>512770</v>
      </c>
      <c r="C2891">
        <v>5952776</v>
      </c>
      <c r="D2891">
        <v>21</v>
      </c>
      <c r="E2891" t="s">
        <v>15</v>
      </c>
      <c r="F2891" t="s">
        <v>7093</v>
      </c>
      <c r="G2891">
        <v>3</v>
      </c>
      <c r="H2891" t="s">
        <v>6876</v>
      </c>
      <c r="I2891" t="s">
        <v>222</v>
      </c>
      <c r="J2891" t="s">
        <v>48</v>
      </c>
      <c r="K2891" t="s">
        <v>20</v>
      </c>
      <c r="L2891" t="s">
        <v>5786</v>
      </c>
      <c r="M2891" s="3" t="str">
        <f>HYPERLINK("..\..\Imagery\ScannedPhotos\1981\VO81-023.1.jpg")</f>
        <v>..\..\Imagery\ScannedPhotos\1981\VO81-023.1.jpg</v>
      </c>
    </row>
    <row r="2892" spans="1:13" x14ac:dyDescent="0.25">
      <c r="A2892" t="s">
        <v>7094</v>
      </c>
      <c r="B2892">
        <v>514963</v>
      </c>
      <c r="C2892">
        <v>5952181</v>
      </c>
      <c r="D2892">
        <v>21</v>
      </c>
      <c r="E2892" t="s">
        <v>15</v>
      </c>
      <c r="F2892" t="s">
        <v>7095</v>
      </c>
      <c r="G2892">
        <v>2</v>
      </c>
      <c r="H2892" t="s">
        <v>6876</v>
      </c>
      <c r="I2892" t="s">
        <v>304</v>
      </c>
      <c r="J2892" t="s">
        <v>48</v>
      </c>
      <c r="K2892" t="s">
        <v>20</v>
      </c>
      <c r="L2892" t="s">
        <v>7096</v>
      </c>
      <c r="M2892" s="3" t="str">
        <f>HYPERLINK("..\..\Imagery\ScannedPhotos\1981\VO81-054.2.jpg")</f>
        <v>..\..\Imagery\ScannedPhotos\1981\VO81-054.2.jpg</v>
      </c>
    </row>
    <row r="2893" spans="1:13" x14ac:dyDescent="0.25">
      <c r="A2893" t="s">
        <v>7094</v>
      </c>
      <c r="B2893">
        <v>514963</v>
      </c>
      <c r="C2893">
        <v>5952181</v>
      </c>
      <c r="D2893">
        <v>21</v>
      </c>
      <c r="E2893" t="s">
        <v>15</v>
      </c>
      <c r="F2893" t="s">
        <v>7097</v>
      </c>
      <c r="G2893">
        <v>2</v>
      </c>
      <c r="H2893" t="s">
        <v>6876</v>
      </c>
      <c r="I2893" t="s">
        <v>418</v>
      </c>
      <c r="J2893" t="s">
        <v>48</v>
      </c>
      <c r="K2893" t="s">
        <v>20</v>
      </c>
      <c r="L2893" t="s">
        <v>7096</v>
      </c>
      <c r="M2893" s="3" t="str">
        <f>HYPERLINK("..\..\Imagery\ScannedPhotos\1981\VO81-054.1.jpg")</f>
        <v>..\..\Imagery\ScannedPhotos\1981\VO81-054.1.jpg</v>
      </c>
    </row>
    <row r="2894" spans="1:13" x14ac:dyDescent="0.25">
      <c r="A2894" t="s">
        <v>7098</v>
      </c>
      <c r="B2894">
        <v>516848</v>
      </c>
      <c r="C2894">
        <v>5953188</v>
      </c>
      <c r="D2894">
        <v>21</v>
      </c>
      <c r="E2894" t="s">
        <v>15</v>
      </c>
      <c r="F2894" t="s">
        <v>7099</v>
      </c>
      <c r="G2894">
        <v>3</v>
      </c>
      <c r="H2894" t="s">
        <v>6876</v>
      </c>
      <c r="I2894" t="s">
        <v>25</v>
      </c>
      <c r="J2894" t="s">
        <v>48</v>
      </c>
      <c r="K2894" t="s">
        <v>20</v>
      </c>
      <c r="L2894" t="s">
        <v>7100</v>
      </c>
      <c r="M2894" s="3" t="str">
        <f>HYPERLINK("..\..\Imagery\ScannedPhotos\1981\VO81-058.2.jpg")</f>
        <v>..\..\Imagery\ScannedPhotos\1981\VO81-058.2.jpg</v>
      </c>
    </row>
    <row r="2895" spans="1:13" x14ac:dyDescent="0.25">
      <c r="A2895" t="s">
        <v>7098</v>
      </c>
      <c r="B2895">
        <v>516848</v>
      </c>
      <c r="C2895">
        <v>5953188</v>
      </c>
      <c r="D2895">
        <v>21</v>
      </c>
      <c r="E2895" t="s">
        <v>15</v>
      </c>
      <c r="F2895" t="s">
        <v>7101</v>
      </c>
      <c r="G2895">
        <v>3</v>
      </c>
      <c r="H2895" t="s">
        <v>6876</v>
      </c>
      <c r="I2895" t="s">
        <v>360</v>
      </c>
      <c r="J2895" t="s">
        <v>48</v>
      </c>
      <c r="K2895" t="s">
        <v>20</v>
      </c>
      <c r="L2895" t="s">
        <v>7102</v>
      </c>
      <c r="M2895" s="3" t="str">
        <f>HYPERLINK("..\..\Imagery\ScannedPhotos\1981\VO81-058.3.jpg")</f>
        <v>..\..\Imagery\ScannedPhotos\1981\VO81-058.3.jpg</v>
      </c>
    </row>
    <row r="2896" spans="1:13" x14ac:dyDescent="0.25">
      <c r="A2896" t="s">
        <v>7103</v>
      </c>
      <c r="B2896">
        <v>415610</v>
      </c>
      <c r="C2896">
        <v>5991155</v>
      </c>
      <c r="D2896">
        <v>21</v>
      </c>
      <c r="E2896" t="s">
        <v>15</v>
      </c>
      <c r="F2896" t="s">
        <v>7104</v>
      </c>
      <c r="G2896">
        <v>1</v>
      </c>
      <c r="H2896" t="s">
        <v>972</v>
      </c>
      <c r="I2896" t="s">
        <v>25</v>
      </c>
      <c r="J2896" t="s">
        <v>807</v>
      </c>
      <c r="K2896" t="s">
        <v>20</v>
      </c>
      <c r="L2896" t="s">
        <v>7105</v>
      </c>
      <c r="M2896" s="3" t="str">
        <f>HYPERLINK("..\..\Imagery\ScannedPhotos\1980\RG80-197.jpg")</f>
        <v>..\..\Imagery\ScannedPhotos\1980\RG80-197.jpg</v>
      </c>
    </row>
    <row r="2897" spans="1:13" x14ac:dyDescent="0.25">
      <c r="A2897" t="s">
        <v>7106</v>
      </c>
      <c r="B2897">
        <v>423527</v>
      </c>
      <c r="C2897">
        <v>5994605</v>
      </c>
      <c r="D2897">
        <v>21</v>
      </c>
      <c r="E2897" t="s">
        <v>15</v>
      </c>
      <c r="F2897" t="s">
        <v>7107</v>
      </c>
      <c r="G2897">
        <v>2</v>
      </c>
      <c r="H2897" t="s">
        <v>972</v>
      </c>
      <c r="I2897" t="s">
        <v>360</v>
      </c>
      <c r="J2897" t="s">
        <v>807</v>
      </c>
      <c r="K2897" t="s">
        <v>20</v>
      </c>
      <c r="L2897" t="s">
        <v>7108</v>
      </c>
      <c r="M2897" s="3" t="str">
        <f>HYPERLINK("..\..\Imagery\ScannedPhotos\1980\RG80-203.1.jpg")</f>
        <v>..\..\Imagery\ScannedPhotos\1980\RG80-203.1.jpg</v>
      </c>
    </row>
    <row r="2898" spans="1:13" x14ac:dyDescent="0.25">
      <c r="A2898" t="s">
        <v>32</v>
      </c>
      <c r="B2898">
        <v>596446</v>
      </c>
      <c r="C2898">
        <v>5792950</v>
      </c>
      <c r="D2898">
        <v>21</v>
      </c>
      <c r="E2898" t="s">
        <v>15</v>
      </c>
      <c r="F2898" t="s">
        <v>7109</v>
      </c>
      <c r="G2898">
        <v>40</v>
      </c>
      <c r="K2898" t="s">
        <v>228</v>
      </c>
      <c r="L2898" t="s">
        <v>4316</v>
      </c>
      <c r="M2898" s="3" t="str">
        <f>HYPERLINK("..\..\Imagery\ScannedPhotos\1987\CG87-488.29.jpg")</f>
        <v>..\..\Imagery\ScannedPhotos\1987\CG87-488.29.jpg</v>
      </c>
    </row>
    <row r="2899" spans="1:13" x14ac:dyDescent="0.25">
      <c r="A2899" t="s">
        <v>7110</v>
      </c>
      <c r="B2899">
        <v>558203</v>
      </c>
      <c r="C2899">
        <v>5823217</v>
      </c>
      <c r="D2899">
        <v>21</v>
      </c>
      <c r="E2899" t="s">
        <v>15</v>
      </c>
      <c r="F2899" t="s">
        <v>7111</v>
      </c>
      <c r="G2899">
        <v>1</v>
      </c>
      <c r="H2899" t="s">
        <v>24</v>
      </c>
      <c r="I2899" t="s">
        <v>52</v>
      </c>
      <c r="J2899" t="s">
        <v>26</v>
      </c>
      <c r="K2899" t="s">
        <v>20</v>
      </c>
      <c r="L2899" t="s">
        <v>7112</v>
      </c>
      <c r="M2899" s="3" t="str">
        <f>HYPERLINK("..\..\Imagery\ScannedPhotos\1986\CG86-053.jpg")</f>
        <v>..\..\Imagery\ScannedPhotos\1986\CG86-053.jpg</v>
      </c>
    </row>
    <row r="2900" spans="1:13" x14ac:dyDescent="0.25">
      <c r="A2900" t="s">
        <v>7113</v>
      </c>
      <c r="B2900">
        <v>549788</v>
      </c>
      <c r="C2900">
        <v>5826008</v>
      </c>
      <c r="D2900">
        <v>21</v>
      </c>
      <c r="E2900" t="s">
        <v>15</v>
      </c>
      <c r="F2900" t="s">
        <v>7114</v>
      </c>
      <c r="G2900">
        <v>1</v>
      </c>
      <c r="H2900" t="s">
        <v>24</v>
      </c>
      <c r="I2900" t="s">
        <v>409</v>
      </c>
      <c r="J2900" t="s">
        <v>26</v>
      </c>
      <c r="K2900" t="s">
        <v>935</v>
      </c>
      <c r="L2900" t="s">
        <v>7115</v>
      </c>
      <c r="M2900" s="3" t="str">
        <f>HYPERLINK("..\..\Imagery\ScannedPhotos\1986\CG86-072.2.jpg")</f>
        <v>..\..\Imagery\ScannedPhotos\1986\CG86-072.2.jpg</v>
      </c>
    </row>
    <row r="2901" spans="1:13" x14ac:dyDescent="0.25">
      <c r="A2901" t="s">
        <v>2519</v>
      </c>
      <c r="B2901">
        <v>434448</v>
      </c>
      <c r="C2901">
        <v>5867130</v>
      </c>
      <c r="D2901">
        <v>21</v>
      </c>
      <c r="E2901" t="s">
        <v>15</v>
      </c>
      <c r="F2901" t="s">
        <v>7116</v>
      </c>
      <c r="G2901">
        <v>7</v>
      </c>
      <c r="H2901" t="s">
        <v>2521</v>
      </c>
      <c r="I2901" t="s">
        <v>129</v>
      </c>
      <c r="J2901" t="s">
        <v>2522</v>
      </c>
      <c r="K2901" t="s">
        <v>56</v>
      </c>
      <c r="L2901" t="s">
        <v>7117</v>
      </c>
      <c r="M2901" s="3" t="str">
        <f>HYPERLINK("..\..\Imagery\ScannedPhotos\1991\VN91-424.3.jpg")</f>
        <v>..\..\Imagery\ScannedPhotos\1991\VN91-424.3.jpg</v>
      </c>
    </row>
    <row r="2902" spans="1:13" x14ac:dyDescent="0.25">
      <c r="A2902" t="s">
        <v>2519</v>
      </c>
      <c r="B2902">
        <v>434448</v>
      </c>
      <c r="C2902">
        <v>5867130</v>
      </c>
      <c r="D2902">
        <v>21</v>
      </c>
      <c r="E2902" t="s">
        <v>15</v>
      </c>
      <c r="F2902" t="s">
        <v>7118</v>
      </c>
      <c r="G2902">
        <v>7</v>
      </c>
      <c r="H2902" t="s">
        <v>2521</v>
      </c>
      <c r="I2902" t="s">
        <v>132</v>
      </c>
      <c r="J2902" t="s">
        <v>2522</v>
      </c>
      <c r="K2902" t="s">
        <v>56</v>
      </c>
      <c r="L2902" t="s">
        <v>7117</v>
      </c>
      <c r="M2902" s="3" t="str">
        <f>HYPERLINK("..\..\Imagery\ScannedPhotos\1991\VN91-424.2.jpg")</f>
        <v>..\..\Imagery\ScannedPhotos\1991\VN91-424.2.jpg</v>
      </c>
    </row>
    <row r="2903" spans="1:13" x14ac:dyDescent="0.25">
      <c r="A2903" t="s">
        <v>2296</v>
      </c>
      <c r="B2903">
        <v>591438</v>
      </c>
      <c r="C2903">
        <v>5809123</v>
      </c>
      <c r="D2903">
        <v>21</v>
      </c>
      <c r="E2903" t="s">
        <v>15</v>
      </c>
      <c r="F2903" t="s">
        <v>7119</v>
      </c>
      <c r="G2903">
        <v>4</v>
      </c>
      <c r="H2903" t="s">
        <v>1618</v>
      </c>
      <c r="I2903" t="s">
        <v>74</v>
      </c>
      <c r="J2903" t="s">
        <v>1619</v>
      </c>
      <c r="K2903" t="s">
        <v>20</v>
      </c>
      <c r="L2903" t="s">
        <v>7120</v>
      </c>
      <c r="M2903" s="3" t="str">
        <f>HYPERLINK("..\..\Imagery\ScannedPhotos\1987\CG87-333.2.jpg")</f>
        <v>..\..\Imagery\ScannedPhotos\1987\CG87-333.2.jpg</v>
      </c>
    </row>
    <row r="2904" spans="1:13" x14ac:dyDescent="0.25">
      <c r="A2904" t="s">
        <v>7121</v>
      </c>
      <c r="B2904">
        <v>439552</v>
      </c>
      <c r="C2904">
        <v>5942107</v>
      </c>
      <c r="D2904">
        <v>21</v>
      </c>
      <c r="E2904" t="s">
        <v>15</v>
      </c>
      <c r="F2904" t="s">
        <v>7122</v>
      </c>
      <c r="G2904">
        <v>1</v>
      </c>
      <c r="H2904" t="s">
        <v>5792</v>
      </c>
      <c r="I2904" t="s">
        <v>108</v>
      </c>
      <c r="J2904" t="s">
        <v>48</v>
      </c>
      <c r="K2904" t="s">
        <v>20</v>
      </c>
      <c r="L2904" t="s">
        <v>7123</v>
      </c>
      <c r="M2904" s="3" t="str">
        <f>HYPERLINK("..\..\Imagery\ScannedPhotos\1981\VO81-468.jpg")</f>
        <v>..\..\Imagery\ScannedPhotos\1981\VO81-468.jpg</v>
      </c>
    </row>
    <row r="2905" spans="1:13" x14ac:dyDescent="0.25">
      <c r="A2905" t="s">
        <v>7124</v>
      </c>
      <c r="B2905">
        <v>498140</v>
      </c>
      <c r="C2905">
        <v>5939085</v>
      </c>
      <c r="D2905">
        <v>21</v>
      </c>
      <c r="E2905" t="s">
        <v>15</v>
      </c>
      <c r="F2905" t="s">
        <v>7125</v>
      </c>
      <c r="G2905">
        <v>1</v>
      </c>
      <c r="H2905" t="s">
        <v>5792</v>
      </c>
      <c r="I2905" t="s">
        <v>401</v>
      </c>
      <c r="J2905" t="s">
        <v>48</v>
      </c>
      <c r="K2905" t="s">
        <v>20</v>
      </c>
      <c r="L2905" t="s">
        <v>7126</v>
      </c>
      <c r="M2905" s="3" t="str">
        <f>HYPERLINK("..\..\Imagery\ScannedPhotos\1981\VO81-486.jpg")</f>
        <v>..\..\Imagery\ScannedPhotos\1981\VO81-486.jpg</v>
      </c>
    </row>
    <row r="2906" spans="1:13" x14ac:dyDescent="0.25">
      <c r="A2906" t="s">
        <v>7127</v>
      </c>
      <c r="B2906">
        <v>524119</v>
      </c>
      <c r="C2906">
        <v>5936957</v>
      </c>
      <c r="D2906">
        <v>21</v>
      </c>
      <c r="E2906" t="s">
        <v>15</v>
      </c>
      <c r="F2906" t="s">
        <v>7128</v>
      </c>
      <c r="G2906">
        <v>1</v>
      </c>
      <c r="H2906" t="s">
        <v>7129</v>
      </c>
      <c r="I2906" t="s">
        <v>281</v>
      </c>
      <c r="J2906" t="s">
        <v>48</v>
      </c>
      <c r="K2906" t="s">
        <v>20</v>
      </c>
      <c r="L2906" t="s">
        <v>7130</v>
      </c>
      <c r="M2906" s="3" t="str">
        <f>HYPERLINK("..\..\Imagery\ScannedPhotos\1981\VO81-487.jpg")</f>
        <v>..\..\Imagery\ScannedPhotos\1981\VO81-487.jpg</v>
      </c>
    </row>
    <row r="2907" spans="1:13" x14ac:dyDescent="0.25">
      <c r="A2907" t="s">
        <v>7131</v>
      </c>
      <c r="B2907">
        <v>526812</v>
      </c>
      <c r="C2907">
        <v>5938118</v>
      </c>
      <c r="D2907">
        <v>21</v>
      </c>
      <c r="E2907" t="s">
        <v>15</v>
      </c>
      <c r="F2907" t="s">
        <v>7132</v>
      </c>
      <c r="G2907">
        <v>1</v>
      </c>
      <c r="H2907" t="s">
        <v>7129</v>
      </c>
      <c r="I2907" t="s">
        <v>69</v>
      </c>
      <c r="J2907" t="s">
        <v>48</v>
      </c>
      <c r="K2907" t="s">
        <v>20</v>
      </c>
      <c r="L2907" t="s">
        <v>7133</v>
      </c>
      <c r="M2907" s="3" t="str">
        <f>HYPERLINK("..\..\Imagery\ScannedPhotos\1981\VO81-491.jpg")</f>
        <v>..\..\Imagery\ScannedPhotos\1981\VO81-491.jpg</v>
      </c>
    </row>
    <row r="2908" spans="1:13" x14ac:dyDescent="0.25">
      <c r="A2908" t="s">
        <v>7134</v>
      </c>
      <c r="B2908">
        <v>440835</v>
      </c>
      <c r="C2908">
        <v>5953627</v>
      </c>
      <c r="D2908">
        <v>21</v>
      </c>
      <c r="E2908" t="s">
        <v>15</v>
      </c>
      <c r="F2908" t="s">
        <v>7135</v>
      </c>
      <c r="G2908">
        <v>4</v>
      </c>
      <c r="H2908" t="s">
        <v>7129</v>
      </c>
      <c r="I2908" t="s">
        <v>418</v>
      </c>
      <c r="J2908" t="s">
        <v>48</v>
      </c>
      <c r="K2908" t="s">
        <v>20</v>
      </c>
      <c r="L2908" t="s">
        <v>7136</v>
      </c>
      <c r="M2908" s="3" t="str">
        <f>HYPERLINK("..\..\Imagery\ScannedPhotos\1981\VO81-518.3.jpg")</f>
        <v>..\..\Imagery\ScannedPhotos\1981\VO81-518.3.jpg</v>
      </c>
    </row>
    <row r="2909" spans="1:13" x14ac:dyDescent="0.25">
      <c r="A2909" t="s">
        <v>7134</v>
      </c>
      <c r="B2909">
        <v>440835</v>
      </c>
      <c r="C2909">
        <v>5953627</v>
      </c>
      <c r="D2909">
        <v>21</v>
      </c>
      <c r="E2909" t="s">
        <v>15</v>
      </c>
      <c r="F2909" t="s">
        <v>7137</v>
      </c>
      <c r="G2909">
        <v>4</v>
      </c>
      <c r="H2909" t="s">
        <v>7129</v>
      </c>
      <c r="I2909" t="s">
        <v>222</v>
      </c>
      <c r="J2909" t="s">
        <v>48</v>
      </c>
      <c r="K2909" t="s">
        <v>20</v>
      </c>
      <c r="L2909" t="s">
        <v>7136</v>
      </c>
      <c r="M2909" s="3" t="str">
        <f>HYPERLINK("..\..\Imagery\ScannedPhotos\1981\VO81-518.2.jpg")</f>
        <v>..\..\Imagery\ScannedPhotos\1981\VO81-518.2.jpg</v>
      </c>
    </row>
    <row r="2910" spans="1:13" x14ac:dyDescent="0.25">
      <c r="A2910" t="s">
        <v>7134</v>
      </c>
      <c r="B2910">
        <v>440835</v>
      </c>
      <c r="C2910">
        <v>5953627</v>
      </c>
      <c r="D2910">
        <v>21</v>
      </c>
      <c r="E2910" t="s">
        <v>15</v>
      </c>
      <c r="F2910" t="s">
        <v>7138</v>
      </c>
      <c r="G2910">
        <v>4</v>
      </c>
      <c r="H2910" t="s">
        <v>7129</v>
      </c>
      <c r="I2910" t="s">
        <v>304</v>
      </c>
      <c r="J2910" t="s">
        <v>48</v>
      </c>
      <c r="K2910" t="s">
        <v>20</v>
      </c>
      <c r="L2910" t="s">
        <v>7136</v>
      </c>
      <c r="M2910" s="3" t="str">
        <f>HYPERLINK("..\..\Imagery\ScannedPhotos\1981\VO81-518.4.jpg")</f>
        <v>..\..\Imagery\ScannedPhotos\1981\VO81-518.4.jpg</v>
      </c>
    </row>
    <row r="2911" spans="1:13" x14ac:dyDescent="0.25">
      <c r="A2911" t="s">
        <v>7134</v>
      </c>
      <c r="B2911">
        <v>440835</v>
      </c>
      <c r="C2911">
        <v>5953627</v>
      </c>
      <c r="D2911">
        <v>21</v>
      </c>
      <c r="E2911" t="s">
        <v>15</v>
      </c>
      <c r="F2911" t="s">
        <v>7139</v>
      </c>
      <c r="G2911">
        <v>4</v>
      </c>
      <c r="H2911" t="s">
        <v>7129</v>
      </c>
      <c r="I2911" t="s">
        <v>214</v>
      </c>
      <c r="J2911" t="s">
        <v>48</v>
      </c>
      <c r="K2911" t="s">
        <v>20</v>
      </c>
      <c r="L2911" t="s">
        <v>7136</v>
      </c>
      <c r="M2911" s="3" t="str">
        <f>HYPERLINK("..\..\Imagery\ScannedPhotos\1981\VO81-518.1.jpg")</f>
        <v>..\..\Imagery\ScannedPhotos\1981\VO81-518.1.jpg</v>
      </c>
    </row>
    <row r="2912" spans="1:13" x14ac:dyDescent="0.25">
      <c r="A2912" t="s">
        <v>7140</v>
      </c>
      <c r="B2912">
        <v>442122</v>
      </c>
      <c r="C2912">
        <v>5954552</v>
      </c>
      <c r="D2912">
        <v>21</v>
      </c>
      <c r="E2912" t="s">
        <v>15</v>
      </c>
      <c r="F2912" t="s">
        <v>7141</v>
      </c>
      <c r="G2912">
        <v>1</v>
      </c>
      <c r="H2912" t="s">
        <v>7129</v>
      </c>
      <c r="I2912" t="s">
        <v>195</v>
      </c>
      <c r="J2912" t="s">
        <v>48</v>
      </c>
      <c r="K2912" t="s">
        <v>20</v>
      </c>
      <c r="L2912" t="s">
        <v>7142</v>
      </c>
      <c r="M2912" s="3" t="str">
        <f>HYPERLINK("..\..\Imagery\ScannedPhotos\1981\VO81-522.jpg")</f>
        <v>..\..\Imagery\ScannedPhotos\1981\VO81-522.jpg</v>
      </c>
    </row>
    <row r="2913" spans="1:13" x14ac:dyDescent="0.25">
      <c r="A2913" t="s">
        <v>7143</v>
      </c>
      <c r="B2913">
        <v>572070</v>
      </c>
      <c r="C2913">
        <v>5763986</v>
      </c>
      <c r="D2913">
        <v>21</v>
      </c>
      <c r="E2913" t="s">
        <v>15</v>
      </c>
      <c r="F2913" t="s">
        <v>7144</v>
      </c>
      <c r="G2913">
        <v>1</v>
      </c>
      <c r="H2913" t="s">
        <v>2480</v>
      </c>
      <c r="I2913" t="s">
        <v>25</v>
      </c>
      <c r="J2913" t="s">
        <v>1619</v>
      </c>
      <c r="K2913" t="s">
        <v>20</v>
      </c>
      <c r="L2913" t="s">
        <v>7145</v>
      </c>
      <c r="M2913" s="3" t="str">
        <f>HYPERLINK("..\..\Imagery\ScannedPhotos\1987\JS87-384.jpg")</f>
        <v>..\..\Imagery\ScannedPhotos\1987\JS87-384.jpg</v>
      </c>
    </row>
    <row r="2914" spans="1:13" x14ac:dyDescent="0.25">
      <c r="A2914" t="s">
        <v>7146</v>
      </c>
      <c r="B2914">
        <v>573344</v>
      </c>
      <c r="C2914">
        <v>5762793</v>
      </c>
      <c r="D2914">
        <v>21</v>
      </c>
      <c r="E2914" t="s">
        <v>15</v>
      </c>
      <c r="F2914" t="s">
        <v>7147</v>
      </c>
      <c r="G2914">
        <v>1</v>
      </c>
      <c r="H2914" t="s">
        <v>2480</v>
      </c>
      <c r="I2914" t="s">
        <v>360</v>
      </c>
      <c r="J2914" t="s">
        <v>1619</v>
      </c>
      <c r="K2914" t="s">
        <v>20</v>
      </c>
      <c r="L2914" t="s">
        <v>7148</v>
      </c>
      <c r="M2914" s="3" t="str">
        <f>HYPERLINK("..\..\Imagery\ScannedPhotos\1987\JS87-386.jpg")</f>
        <v>..\..\Imagery\ScannedPhotos\1987\JS87-386.jpg</v>
      </c>
    </row>
    <row r="2915" spans="1:13" x14ac:dyDescent="0.25">
      <c r="A2915" t="s">
        <v>7149</v>
      </c>
      <c r="B2915">
        <v>576323</v>
      </c>
      <c r="C2915">
        <v>5761834</v>
      </c>
      <c r="D2915">
        <v>21</v>
      </c>
      <c r="E2915" t="s">
        <v>15</v>
      </c>
      <c r="F2915" t="s">
        <v>7150</v>
      </c>
      <c r="G2915">
        <v>1</v>
      </c>
      <c r="H2915" t="s">
        <v>2480</v>
      </c>
      <c r="I2915" t="s">
        <v>114</v>
      </c>
      <c r="J2915" t="s">
        <v>1619</v>
      </c>
      <c r="K2915" t="s">
        <v>56</v>
      </c>
      <c r="L2915" t="s">
        <v>7151</v>
      </c>
      <c r="M2915" s="3" t="str">
        <f>HYPERLINK("..\..\Imagery\ScannedPhotos\1987\JS87-391.jpg")</f>
        <v>..\..\Imagery\ScannedPhotos\1987\JS87-391.jpg</v>
      </c>
    </row>
    <row r="2916" spans="1:13" x14ac:dyDescent="0.25">
      <c r="A2916" t="s">
        <v>7152</v>
      </c>
      <c r="B2916">
        <v>536009</v>
      </c>
      <c r="C2916">
        <v>5941069</v>
      </c>
      <c r="D2916">
        <v>21</v>
      </c>
      <c r="E2916" t="s">
        <v>15</v>
      </c>
      <c r="F2916" t="s">
        <v>7153</v>
      </c>
      <c r="G2916">
        <v>2</v>
      </c>
      <c r="H2916" t="s">
        <v>817</v>
      </c>
      <c r="I2916" t="s">
        <v>209</v>
      </c>
      <c r="J2916" t="s">
        <v>48</v>
      </c>
      <c r="K2916" t="s">
        <v>20</v>
      </c>
      <c r="L2916" t="s">
        <v>7154</v>
      </c>
      <c r="M2916" s="3" t="str">
        <f>HYPERLINK("..\..\Imagery\ScannedPhotos\1981\VO81-568.2.jpg")</f>
        <v>..\..\Imagery\ScannedPhotos\1981\VO81-568.2.jpg</v>
      </c>
    </row>
    <row r="2917" spans="1:13" x14ac:dyDescent="0.25">
      <c r="A2917" t="s">
        <v>186</v>
      </c>
      <c r="B2917">
        <v>596406</v>
      </c>
      <c r="C2917">
        <v>5792885</v>
      </c>
      <c r="D2917">
        <v>21</v>
      </c>
      <c r="E2917" t="s">
        <v>15</v>
      </c>
      <c r="F2917" t="s">
        <v>7155</v>
      </c>
      <c r="G2917">
        <v>3</v>
      </c>
      <c r="K2917" t="s">
        <v>20</v>
      </c>
      <c r="L2917" t="s">
        <v>7156</v>
      </c>
      <c r="M2917" s="3" t="str">
        <f>HYPERLINK("..\..\Imagery\ScannedPhotos\2007\CG07-132.3.jpg")</f>
        <v>..\..\Imagery\ScannedPhotos\2007\CG07-132.3.jpg</v>
      </c>
    </row>
    <row r="2918" spans="1:13" x14ac:dyDescent="0.25">
      <c r="A2918" t="s">
        <v>2778</v>
      </c>
      <c r="B2918">
        <v>596476</v>
      </c>
      <c r="C2918">
        <v>5792143</v>
      </c>
      <c r="D2918">
        <v>21</v>
      </c>
      <c r="E2918" t="s">
        <v>15</v>
      </c>
      <c r="F2918" t="s">
        <v>7157</v>
      </c>
      <c r="G2918">
        <v>3</v>
      </c>
      <c r="K2918" t="s">
        <v>56</v>
      </c>
      <c r="L2918" t="s">
        <v>7158</v>
      </c>
      <c r="M2918" s="3" t="str">
        <f>HYPERLINK("..\..\Imagery\ScannedPhotos\2007\CG07-137.1.jpg")</f>
        <v>..\..\Imagery\ScannedPhotos\2007\CG07-137.1.jpg</v>
      </c>
    </row>
    <row r="2919" spans="1:13" x14ac:dyDescent="0.25">
      <c r="A2919" t="s">
        <v>2405</v>
      </c>
      <c r="B2919">
        <v>490752</v>
      </c>
      <c r="C2919">
        <v>5941885</v>
      </c>
      <c r="D2919">
        <v>21</v>
      </c>
      <c r="E2919" t="s">
        <v>15</v>
      </c>
      <c r="F2919" t="s">
        <v>7159</v>
      </c>
      <c r="G2919">
        <v>3</v>
      </c>
      <c r="H2919" t="s">
        <v>142</v>
      </c>
      <c r="I2919" t="s">
        <v>360</v>
      </c>
      <c r="J2919" t="s">
        <v>144</v>
      </c>
      <c r="K2919" t="s">
        <v>56</v>
      </c>
      <c r="L2919" t="s">
        <v>7160</v>
      </c>
      <c r="M2919" s="3" t="str">
        <f>HYPERLINK("..\..\Imagery\ScannedPhotos\1977\MC77-017.1.jpg")</f>
        <v>..\..\Imagery\ScannedPhotos\1977\MC77-017.1.jpg</v>
      </c>
    </row>
    <row r="2920" spans="1:13" x14ac:dyDescent="0.25">
      <c r="A2920" t="s">
        <v>3175</v>
      </c>
      <c r="B2920">
        <v>481350</v>
      </c>
      <c r="C2920">
        <v>5809300</v>
      </c>
      <c r="D2920">
        <v>21</v>
      </c>
      <c r="E2920" t="s">
        <v>15</v>
      </c>
      <c r="F2920" t="s">
        <v>7161</v>
      </c>
      <c r="G2920">
        <v>2</v>
      </c>
      <c r="H2920" t="s">
        <v>1095</v>
      </c>
      <c r="I2920" t="s">
        <v>375</v>
      </c>
      <c r="J2920" t="s">
        <v>1096</v>
      </c>
      <c r="K2920" t="s">
        <v>20</v>
      </c>
      <c r="L2920" t="s">
        <v>3177</v>
      </c>
      <c r="M2920" s="3" t="str">
        <f>HYPERLINK("..\..\Imagery\ScannedPhotos\1992\VN92-045.2.jpg")</f>
        <v>..\..\Imagery\ScannedPhotos\1992\VN92-045.2.jpg</v>
      </c>
    </row>
    <row r="2921" spans="1:13" x14ac:dyDescent="0.25">
      <c r="A2921" t="s">
        <v>7162</v>
      </c>
      <c r="B2921">
        <v>510545</v>
      </c>
      <c r="C2921">
        <v>5796822</v>
      </c>
      <c r="D2921">
        <v>21</v>
      </c>
      <c r="E2921" t="s">
        <v>15</v>
      </c>
      <c r="F2921" t="s">
        <v>7163</v>
      </c>
      <c r="G2921">
        <v>1</v>
      </c>
      <c r="H2921" t="s">
        <v>796</v>
      </c>
      <c r="I2921" t="s">
        <v>222</v>
      </c>
      <c r="J2921" t="s">
        <v>797</v>
      </c>
      <c r="K2921" t="s">
        <v>20</v>
      </c>
      <c r="L2921" t="s">
        <v>7164</v>
      </c>
      <c r="M2921" s="3" t="str">
        <f>HYPERLINK("..\..\Imagery\ScannedPhotos\1987\JS87-101.jpg")</f>
        <v>..\..\Imagery\ScannedPhotos\1987\JS87-101.jpg</v>
      </c>
    </row>
    <row r="2922" spans="1:13" x14ac:dyDescent="0.25">
      <c r="A2922" t="s">
        <v>7165</v>
      </c>
      <c r="B2922">
        <v>524780</v>
      </c>
      <c r="C2922">
        <v>5802520</v>
      </c>
      <c r="D2922">
        <v>21</v>
      </c>
      <c r="E2922" t="s">
        <v>15</v>
      </c>
      <c r="F2922" t="s">
        <v>7166</v>
      </c>
      <c r="G2922">
        <v>1</v>
      </c>
      <c r="H2922" t="s">
        <v>796</v>
      </c>
      <c r="I2922" t="s">
        <v>418</v>
      </c>
      <c r="J2922" t="s">
        <v>797</v>
      </c>
      <c r="K2922" t="s">
        <v>56</v>
      </c>
      <c r="L2922" t="s">
        <v>7167</v>
      </c>
      <c r="M2922" s="3" t="str">
        <f>HYPERLINK("..\..\Imagery\ScannedPhotos\1987\JS87-110.jpg")</f>
        <v>..\..\Imagery\ScannedPhotos\1987\JS87-110.jpg</v>
      </c>
    </row>
    <row r="2923" spans="1:13" x14ac:dyDescent="0.25">
      <c r="A2923" t="s">
        <v>7168</v>
      </c>
      <c r="B2923">
        <v>564546</v>
      </c>
      <c r="C2923">
        <v>5816296</v>
      </c>
      <c r="D2923">
        <v>21</v>
      </c>
      <c r="E2923" t="s">
        <v>15</v>
      </c>
      <c r="F2923" t="s">
        <v>7169</v>
      </c>
      <c r="G2923">
        <v>1</v>
      </c>
      <c r="H2923" t="s">
        <v>796</v>
      </c>
      <c r="I2923" t="s">
        <v>195</v>
      </c>
      <c r="J2923" t="s">
        <v>797</v>
      </c>
      <c r="K2923" t="s">
        <v>20</v>
      </c>
      <c r="L2923" t="s">
        <v>7170</v>
      </c>
      <c r="M2923" s="3" t="str">
        <f>HYPERLINK("..\..\Imagery\ScannedPhotos\1987\JS87-122.jpg")</f>
        <v>..\..\Imagery\ScannedPhotos\1987\JS87-122.jpg</v>
      </c>
    </row>
    <row r="2924" spans="1:13" x14ac:dyDescent="0.25">
      <c r="A2924" t="s">
        <v>7171</v>
      </c>
      <c r="B2924">
        <v>564637</v>
      </c>
      <c r="C2924">
        <v>5812095</v>
      </c>
      <c r="D2924">
        <v>21</v>
      </c>
      <c r="E2924" t="s">
        <v>15</v>
      </c>
      <c r="F2924" t="s">
        <v>7172</v>
      </c>
      <c r="G2924">
        <v>1</v>
      </c>
      <c r="H2924" t="s">
        <v>796</v>
      </c>
      <c r="I2924" t="s">
        <v>25</v>
      </c>
      <c r="J2924" t="s">
        <v>797</v>
      </c>
      <c r="K2924" t="s">
        <v>20</v>
      </c>
      <c r="L2924" t="s">
        <v>7173</v>
      </c>
      <c r="M2924" s="3" t="str">
        <f>HYPERLINK("..\..\Imagery\ScannedPhotos\1987\JS87-131.jpg")</f>
        <v>..\..\Imagery\ScannedPhotos\1987\JS87-131.jpg</v>
      </c>
    </row>
    <row r="2925" spans="1:13" x14ac:dyDescent="0.25">
      <c r="A2925" t="s">
        <v>3356</v>
      </c>
      <c r="B2925">
        <v>596424</v>
      </c>
      <c r="C2925">
        <v>5792773</v>
      </c>
      <c r="D2925">
        <v>21</v>
      </c>
      <c r="E2925" t="s">
        <v>15</v>
      </c>
      <c r="F2925" t="s">
        <v>7174</v>
      </c>
      <c r="G2925">
        <v>6</v>
      </c>
      <c r="K2925" t="s">
        <v>56</v>
      </c>
      <c r="L2925" t="s">
        <v>7175</v>
      </c>
      <c r="M2925" s="3" t="str">
        <f>HYPERLINK("..\..\Imagery\ScannedPhotos\2007\CG07-143.3.jpg")</f>
        <v>..\..\Imagery\ScannedPhotos\2007\CG07-143.3.jpg</v>
      </c>
    </row>
    <row r="2926" spans="1:13" x14ac:dyDescent="0.25">
      <c r="A2926" t="s">
        <v>3356</v>
      </c>
      <c r="B2926">
        <v>596424</v>
      </c>
      <c r="C2926">
        <v>5792773</v>
      </c>
      <c r="D2926">
        <v>21</v>
      </c>
      <c r="E2926" t="s">
        <v>15</v>
      </c>
      <c r="F2926" t="s">
        <v>7176</v>
      </c>
      <c r="G2926">
        <v>6</v>
      </c>
      <c r="K2926" t="s">
        <v>56</v>
      </c>
      <c r="L2926" t="s">
        <v>3505</v>
      </c>
      <c r="M2926" s="3" t="str">
        <f>HYPERLINK("..\..\Imagery\ScannedPhotos\2007\CG07-143.4.jpg")</f>
        <v>..\..\Imagery\ScannedPhotos\2007\CG07-143.4.jpg</v>
      </c>
    </row>
    <row r="2927" spans="1:13" x14ac:dyDescent="0.25">
      <c r="A2927" t="s">
        <v>7177</v>
      </c>
      <c r="B2927">
        <v>596463</v>
      </c>
      <c r="C2927">
        <v>5792949</v>
      </c>
      <c r="D2927">
        <v>21</v>
      </c>
      <c r="E2927" t="s">
        <v>15</v>
      </c>
      <c r="F2927" t="s">
        <v>7178</v>
      </c>
      <c r="G2927">
        <v>1</v>
      </c>
      <c r="K2927" t="s">
        <v>20</v>
      </c>
      <c r="L2927" t="s">
        <v>7179</v>
      </c>
      <c r="M2927" s="3" t="str">
        <f>HYPERLINK("..\..\Imagery\ScannedPhotos\2007\CG07-155.jpg")</f>
        <v>..\..\Imagery\ScannedPhotos\2007\CG07-155.jpg</v>
      </c>
    </row>
    <row r="2928" spans="1:13" x14ac:dyDescent="0.25">
      <c r="A2928" t="s">
        <v>7180</v>
      </c>
      <c r="B2928">
        <v>596481</v>
      </c>
      <c r="C2928">
        <v>5792944</v>
      </c>
      <c r="D2928">
        <v>21</v>
      </c>
      <c r="E2928" t="s">
        <v>15</v>
      </c>
      <c r="F2928" t="s">
        <v>7181</v>
      </c>
      <c r="G2928">
        <v>2</v>
      </c>
      <c r="K2928" t="s">
        <v>20</v>
      </c>
      <c r="L2928" t="s">
        <v>7182</v>
      </c>
      <c r="M2928" s="3" t="str">
        <f>HYPERLINK("..\..\Imagery\ScannedPhotos\2007\CG07-156.1.jpg")</f>
        <v>..\..\Imagery\ScannedPhotos\2007\CG07-156.1.jpg</v>
      </c>
    </row>
    <row r="2929" spans="1:13" x14ac:dyDescent="0.25">
      <c r="A2929" t="s">
        <v>7180</v>
      </c>
      <c r="B2929">
        <v>596481</v>
      </c>
      <c r="C2929">
        <v>5792944</v>
      </c>
      <c r="D2929">
        <v>21</v>
      </c>
      <c r="E2929" t="s">
        <v>15</v>
      </c>
      <c r="F2929" t="s">
        <v>7183</v>
      </c>
      <c r="G2929">
        <v>2</v>
      </c>
      <c r="K2929" t="s">
        <v>20</v>
      </c>
      <c r="L2929" t="s">
        <v>7182</v>
      </c>
      <c r="M2929" s="3" t="str">
        <f>HYPERLINK("..\..\Imagery\ScannedPhotos\2007\CG07-156.2.jpg")</f>
        <v>..\..\Imagery\ScannedPhotos\2007\CG07-156.2.jpg</v>
      </c>
    </row>
    <row r="2930" spans="1:13" x14ac:dyDescent="0.25">
      <c r="A2930" t="s">
        <v>7184</v>
      </c>
      <c r="B2930">
        <v>596443</v>
      </c>
      <c r="C2930">
        <v>5792958</v>
      </c>
      <c r="D2930">
        <v>21</v>
      </c>
      <c r="E2930" t="s">
        <v>15</v>
      </c>
      <c r="F2930" t="s">
        <v>7185</v>
      </c>
      <c r="G2930">
        <v>1</v>
      </c>
      <c r="K2930" t="s">
        <v>56</v>
      </c>
      <c r="L2930" t="s">
        <v>7186</v>
      </c>
      <c r="M2930" s="3" t="str">
        <f>HYPERLINK("..\..\Imagery\ScannedPhotos\2007\CG07-157.jpg")</f>
        <v>..\..\Imagery\ScannedPhotos\2007\CG07-157.jpg</v>
      </c>
    </row>
    <row r="2931" spans="1:13" x14ac:dyDescent="0.25">
      <c r="A2931" t="s">
        <v>7187</v>
      </c>
      <c r="B2931">
        <v>596537</v>
      </c>
      <c r="C2931">
        <v>5792123</v>
      </c>
      <c r="D2931">
        <v>21</v>
      </c>
      <c r="E2931" t="s">
        <v>15</v>
      </c>
      <c r="F2931" t="s">
        <v>7188</v>
      </c>
      <c r="G2931">
        <v>3</v>
      </c>
      <c r="K2931" t="s">
        <v>228</v>
      </c>
      <c r="L2931" t="s">
        <v>7189</v>
      </c>
      <c r="M2931" s="3" t="str">
        <f>HYPERLINK("..\..\Imagery\ScannedPhotos\2007\CG07-158.1.jpg")</f>
        <v>..\..\Imagery\ScannedPhotos\2007\CG07-158.1.jpg</v>
      </c>
    </row>
    <row r="2932" spans="1:13" x14ac:dyDescent="0.25">
      <c r="A2932" t="s">
        <v>7187</v>
      </c>
      <c r="B2932">
        <v>596537</v>
      </c>
      <c r="C2932">
        <v>5792123</v>
      </c>
      <c r="D2932">
        <v>21</v>
      </c>
      <c r="E2932" t="s">
        <v>15</v>
      </c>
      <c r="F2932" t="s">
        <v>7190</v>
      </c>
      <c r="G2932">
        <v>3</v>
      </c>
      <c r="K2932" t="s">
        <v>228</v>
      </c>
      <c r="L2932" t="s">
        <v>7191</v>
      </c>
      <c r="M2932" s="3" t="str">
        <f>HYPERLINK("..\..\Imagery\ScannedPhotos\2007\CG07-158.2.jpg")</f>
        <v>..\..\Imagery\ScannedPhotos\2007\CG07-158.2.jpg</v>
      </c>
    </row>
    <row r="2933" spans="1:13" x14ac:dyDescent="0.25">
      <c r="A2933" t="s">
        <v>523</v>
      </c>
      <c r="B2933">
        <v>575599</v>
      </c>
      <c r="C2933">
        <v>5756653</v>
      </c>
      <c r="D2933">
        <v>21</v>
      </c>
      <c r="E2933" t="s">
        <v>15</v>
      </c>
      <c r="F2933" t="s">
        <v>7192</v>
      </c>
      <c r="G2933">
        <v>16</v>
      </c>
      <c r="H2933" t="s">
        <v>984</v>
      </c>
      <c r="I2933" t="s">
        <v>74</v>
      </c>
      <c r="J2933" t="s">
        <v>985</v>
      </c>
      <c r="K2933" t="s">
        <v>20</v>
      </c>
      <c r="L2933" t="s">
        <v>1085</v>
      </c>
      <c r="M2933" s="3" t="str">
        <f>HYPERLINK("..\..\Imagery\ScannedPhotos\1993\VN93-662.9.jpg")</f>
        <v>..\..\Imagery\ScannedPhotos\1993\VN93-662.9.jpg</v>
      </c>
    </row>
    <row r="2934" spans="1:13" x14ac:dyDescent="0.25">
      <c r="A2934" t="s">
        <v>7193</v>
      </c>
      <c r="B2934">
        <v>582141</v>
      </c>
      <c r="C2934">
        <v>5927434</v>
      </c>
      <c r="D2934">
        <v>21</v>
      </c>
      <c r="E2934" t="s">
        <v>15</v>
      </c>
      <c r="F2934" t="s">
        <v>7194</v>
      </c>
      <c r="G2934">
        <v>8</v>
      </c>
      <c r="H2934" t="s">
        <v>1378</v>
      </c>
      <c r="I2934" t="s">
        <v>65</v>
      </c>
      <c r="J2934" t="s">
        <v>628</v>
      </c>
      <c r="K2934" t="s">
        <v>535</v>
      </c>
      <c r="L2934" t="s">
        <v>7195</v>
      </c>
      <c r="M2934" s="3" t="str">
        <f>HYPERLINK("..\..\Imagery\ScannedPhotos\1985\SP85-133.7.jpg")</f>
        <v>..\..\Imagery\ScannedPhotos\1985\SP85-133.7.jpg</v>
      </c>
    </row>
    <row r="2935" spans="1:13" x14ac:dyDescent="0.25">
      <c r="A2935" t="s">
        <v>7193</v>
      </c>
      <c r="B2935">
        <v>582141</v>
      </c>
      <c r="C2935">
        <v>5927434</v>
      </c>
      <c r="D2935">
        <v>21</v>
      </c>
      <c r="E2935" t="s">
        <v>15</v>
      </c>
      <c r="F2935" t="s">
        <v>7196</v>
      </c>
      <c r="G2935">
        <v>8</v>
      </c>
      <c r="H2935" t="s">
        <v>1378</v>
      </c>
      <c r="I2935" t="s">
        <v>52</v>
      </c>
      <c r="J2935" t="s">
        <v>628</v>
      </c>
      <c r="K2935" t="s">
        <v>535</v>
      </c>
      <c r="L2935" t="s">
        <v>7197</v>
      </c>
      <c r="M2935" s="3" t="str">
        <f>HYPERLINK("..\..\Imagery\ScannedPhotos\1985\SP85-133.6.jpg")</f>
        <v>..\..\Imagery\ScannedPhotos\1985\SP85-133.6.jpg</v>
      </c>
    </row>
    <row r="2936" spans="1:13" x14ac:dyDescent="0.25">
      <c r="A2936" t="s">
        <v>7198</v>
      </c>
      <c r="B2936">
        <v>379225</v>
      </c>
      <c r="C2936">
        <v>5925962</v>
      </c>
      <c r="D2936">
        <v>21</v>
      </c>
      <c r="E2936" t="s">
        <v>15</v>
      </c>
      <c r="F2936" t="s">
        <v>7199</v>
      </c>
      <c r="G2936">
        <v>8</v>
      </c>
      <c r="H2936" t="s">
        <v>3762</v>
      </c>
      <c r="I2936" t="s">
        <v>375</v>
      </c>
      <c r="J2936" t="s">
        <v>557</v>
      </c>
      <c r="K2936" t="s">
        <v>20</v>
      </c>
      <c r="L2936" t="s">
        <v>7200</v>
      </c>
      <c r="M2936" s="3" t="str">
        <f>HYPERLINK("..\..\Imagery\ScannedPhotos\1995\CG95-249.5.jpg")</f>
        <v>..\..\Imagery\ScannedPhotos\1995\CG95-249.5.jpg</v>
      </c>
    </row>
    <row r="2937" spans="1:13" x14ac:dyDescent="0.25">
      <c r="A2937" t="s">
        <v>7198</v>
      </c>
      <c r="B2937">
        <v>379225</v>
      </c>
      <c r="C2937">
        <v>5925962</v>
      </c>
      <c r="D2937">
        <v>21</v>
      </c>
      <c r="E2937" t="s">
        <v>15</v>
      </c>
      <c r="F2937" t="s">
        <v>7201</v>
      </c>
      <c r="G2937">
        <v>8</v>
      </c>
      <c r="H2937" t="s">
        <v>3762</v>
      </c>
      <c r="I2937" t="s">
        <v>69</v>
      </c>
      <c r="J2937" t="s">
        <v>557</v>
      </c>
      <c r="K2937" t="s">
        <v>20</v>
      </c>
      <c r="L2937" t="s">
        <v>7202</v>
      </c>
      <c r="M2937" s="3" t="str">
        <f>HYPERLINK("..\..\Imagery\ScannedPhotos\1995\CG95-249.1.jpg")</f>
        <v>..\..\Imagery\ScannedPhotos\1995\CG95-249.1.jpg</v>
      </c>
    </row>
    <row r="2938" spans="1:13" x14ac:dyDescent="0.25">
      <c r="A2938" t="s">
        <v>7198</v>
      </c>
      <c r="B2938">
        <v>379225</v>
      </c>
      <c r="C2938">
        <v>5925962</v>
      </c>
      <c r="D2938">
        <v>21</v>
      </c>
      <c r="E2938" t="s">
        <v>15</v>
      </c>
      <c r="F2938" t="s">
        <v>7203</v>
      </c>
      <c r="G2938">
        <v>8</v>
      </c>
      <c r="H2938" t="s">
        <v>3762</v>
      </c>
      <c r="I2938" t="s">
        <v>85</v>
      </c>
      <c r="J2938" t="s">
        <v>557</v>
      </c>
      <c r="K2938" t="s">
        <v>20</v>
      </c>
      <c r="L2938" t="s">
        <v>7202</v>
      </c>
      <c r="M2938" s="3" t="str">
        <f>HYPERLINK("..\..\Imagery\ScannedPhotos\1995\CG95-249.4.jpg")</f>
        <v>..\..\Imagery\ScannedPhotos\1995\CG95-249.4.jpg</v>
      </c>
    </row>
    <row r="2939" spans="1:13" x14ac:dyDescent="0.25">
      <c r="A2939" t="s">
        <v>7198</v>
      </c>
      <c r="B2939">
        <v>379225</v>
      </c>
      <c r="C2939">
        <v>5925962</v>
      </c>
      <c r="D2939">
        <v>21</v>
      </c>
      <c r="E2939" t="s">
        <v>15</v>
      </c>
      <c r="F2939" t="s">
        <v>7204</v>
      </c>
      <c r="G2939">
        <v>8</v>
      </c>
      <c r="H2939" t="s">
        <v>3762</v>
      </c>
      <c r="I2939" t="s">
        <v>41</v>
      </c>
      <c r="J2939" t="s">
        <v>557</v>
      </c>
      <c r="K2939" t="s">
        <v>20</v>
      </c>
      <c r="L2939" t="s">
        <v>7202</v>
      </c>
      <c r="M2939" s="3" t="str">
        <f>HYPERLINK("..\..\Imagery\ScannedPhotos\1995\CG95-249.3.jpg")</f>
        <v>..\..\Imagery\ScannedPhotos\1995\CG95-249.3.jpg</v>
      </c>
    </row>
    <row r="2940" spans="1:13" x14ac:dyDescent="0.25">
      <c r="A2940" t="s">
        <v>7198</v>
      </c>
      <c r="B2940">
        <v>379225</v>
      </c>
      <c r="C2940">
        <v>5925962</v>
      </c>
      <c r="D2940">
        <v>21</v>
      </c>
      <c r="E2940" t="s">
        <v>15</v>
      </c>
      <c r="F2940" t="s">
        <v>7205</v>
      </c>
      <c r="G2940">
        <v>8</v>
      </c>
      <c r="H2940" t="s">
        <v>3762</v>
      </c>
      <c r="I2940" t="s">
        <v>386</v>
      </c>
      <c r="J2940" t="s">
        <v>557</v>
      </c>
      <c r="K2940" t="s">
        <v>20</v>
      </c>
      <c r="L2940" t="s">
        <v>7206</v>
      </c>
      <c r="M2940" s="3" t="str">
        <f>HYPERLINK("..\..\Imagery\ScannedPhotos\1995\CG95-249.8.jpg")</f>
        <v>..\..\Imagery\ScannedPhotos\1995\CG95-249.8.jpg</v>
      </c>
    </row>
    <row r="2941" spans="1:13" x14ac:dyDescent="0.25">
      <c r="A2941" t="s">
        <v>7207</v>
      </c>
      <c r="B2941">
        <v>581913</v>
      </c>
      <c r="C2941">
        <v>5899217</v>
      </c>
      <c r="D2941">
        <v>21</v>
      </c>
      <c r="E2941" t="s">
        <v>15</v>
      </c>
      <c r="F2941" t="s">
        <v>7208</v>
      </c>
      <c r="G2941">
        <v>6</v>
      </c>
      <c r="H2941" t="s">
        <v>136</v>
      </c>
      <c r="I2941" t="s">
        <v>94</v>
      </c>
      <c r="J2941" t="s">
        <v>138</v>
      </c>
      <c r="K2941" t="s">
        <v>56</v>
      </c>
      <c r="L2941" t="s">
        <v>3459</v>
      </c>
      <c r="M2941" s="3" t="str">
        <f>HYPERLINK("..\..\Imagery\ScannedPhotos\1985\GM85-538.3.jpg")</f>
        <v>..\..\Imagery\ScannedPhotos\1985\GM85-538.3.jpg</v>
      </c>
    </row>
    <row r="2942" spans="1:13" x14ac:dyDescent="0.25">
      <c r="A2942" t="s">
        <v>7207</v>
      </c>
      <c r="B2942">
        <v>581913</v>
      </c>
      <c r="C2942">
        <v>5899217</v>
      </c>
      <c r="D2942">
        <v>21</v>
      </c>
      <c r="E2942" t="s">
        <v>15</v>
      </c>
      <c r="F2942" t="s">
        <v>7209</v>
      </c>
      <c r="G2942">
        <v>6</v>
      </c>
      <c r="H2942" t="s">
        <v>136</v>
      </c>
      <c r="I2942" t="s">
        <v>375</v>
      </c>
      <c r="J2942" t="s">
        <v>138</v>
      </c>
      <c r="K2942" t="s">
        <v>56</v>
      </c>
      <c r="L2942" t="s">
        <v>3459</v>
      </c>
      <c r="M2942" s="3" t="str">
        <f>HYPERLINK("..\..\Imagery\ScannedPhotos\1985\GM85-538.2.jpg")</f>
        <v>..\..\Imagery\ScannedPhotos\1985\GM85-538.2.jpg</v>
      </c>
    </row>
    <row r="2943" spans="1:13" x14ac:dyDescent="0.25">
      <c r="A2943" t="s">
        <v>7207</v>
      </c>
      <c r="B2943">
        <v>581913</v>
      </c>
      <c r="C2943">
        <v>5899217</v>
      </c>
      <c r="D2943">
        <v>21</v>
      </c>
      <c r="E2943" t="s">
        <v>15</v>
      </c>
      <c r="F2943" t="s">
        <v>7210</v>
      </c>
      <c r="G2943">
        <v>6</v>
      </c>
      <c r="H2943" t="s">
        <v>136</v>
      </c>
      <c r="I2943" t="s">
        <v>217</v>
      </c>
      <c r="J2943" t="s">
        <v>138</v>
      </c>
      <c r="K2943" t="s">
        <v>20</v>
      </c>
      <c r="L2943" t="s">
        <v>7211</v>
      </c>
      <c r="M2943" s="3" t="str">
        <f>HYPERLINK("..\..\Imagery\ScannedPhotos\1985\GM85-538.6.jpg")</f>
        <v>..\..\Imagery\ScannedPhotos\1985\GM85-538.6.jpg</v>
      </c>
    </row>
    <row r="2944" spans="1:13" x14ac:dyDescent="0.25">
      <c r="A2944" t="s">
        <v>7212</v>
      </c>
      <c r="B2944">
        <v>575425</v>
      </c>
      <c r="C2944">
        <v>5798188</v>
      </c>
      <c r="D2944">
        <v>21</v>
      </c>
      <c r="E2944" t="s">
        <v>15</v>
      </c>
      <c r="F2944" t="s">
        <v>7213</v>
      </c>
      <c r="G2944">
        <v>1</v>
      </c>
      <c r="H2944" t="s">
        <v>2480</v>
      </c>
      <c r="I2944" t="s">
        <v>137</v>
      </c>
      <c r="J2944" t="s">
        <v>1619</v>
      </c>
      <c r="K2944" t="s">
        <v>20</v>
      </c>
      <c r="L2944" t="s">
        <v>7214</v>
      </c>
      <c r="M2944" s="3" t="str">
        <f>HYPERLINK("..\..\Imagery\ScannedPhotos\1987\JS87-287.jpg")</f>
        <v>..\..\Imagery\ScannedPhotos\1987\JS87-287.jpg</v>
      </c>
    </row>
    <row r="2945" spans="1:13" x14ac:dyDescent="0.25">
      <c r="A2945" t="s">
        <v>7215</v>
      </c>
      <c r="B2945">
        <v>572066</v>
      </c>
      <c r="C2945">
        <v>5787610</v>
      </c>
      <c r="D2945">
        <v>21</v>
      </c>
      <c r="E2945" t="s">
        <v>15</v>
      </c>
      <c r="F2945" t="s">
        <v>7216</v>
      </c>
      <c r="G2945">
        <v>1</v>
      </c>
      <c r="H2945" t="s">
        <v>2480</v>
      </c>
      <c r="I2945" t="s">
        <v>18</v>
      </c>
      <c r="J2945" t="s">
        <v>1619</v>
      </c>
      <c r="K2945" t="s">
        <v>20</v>
      </c>
      <c r="L2945" t="s">
        <v>7217</v>
      </c>
      <c r="M2945" s="3" t="str">
        <f>HYPERLINK("..\..\Imagery\ScannedPhotos\1987\JS87-298.jpg")</f>
        <v>..\..\Imagery\ScannedPhotos\1987\JS87-298.jpg</v>
      </c>
    </row>
    <row r="2946" spans="1:13" x14ac:dyDescent="0.25">
      <c r="A2946" t="s">
        <v>7218</v>
      </c>
      <c r="B2946">
        <v>556699</v>
      </c>
      <c r="C2946">
        <v>5740555</v>
      </c>
      <c r="D2946">
        <v>21</v>
      </c>
      <c r="E2946" t="s">
        <v>15</v>
      </c>
      <c r="F2946" t="s">
        <v>7219</v>
      </c>
      <c r="G2946">
        <v>2</v>
      </c>
      <c r="H2946" t="s">
        <v>7220</v>
      </c>
      <c r="I2946" t="s">
        <v>119</v>
      </c>
      <c r="J2946" t="s">
        <v>1738</v>
      </c>
      <c r="K2946" t="s">
        <v>56</v>
      </c>
      <c r="L2946" t="s">
        <v>7221</v>
      </c>
      <c r="M2946" s="3" t="str">
        <f>HYPERLINK("..\..\Imagery\ScannedPhotos\1993\CG93-408.2.jpg")</f>
        <v>..\..\Imagery\ScannedPhotos\1993\CG93-408.2.jpg</v>
      </c>
    </row>
    <row r="2947" spans="1:13" x14ac:dyDescent="0.25">
      <c r="A2947" t="s">
        <v>7222</v>
      </c>
      <c r="B2947">
        <v>557214</v>
      </c>
      <c r="C2947">
        <v>5741075</v>
      </c>
      <c r="D2947">
        <v>21</v>
      </c>
      <c r="E2947" t="s">
        <v>15</v>
      </c>
      <c r="F2947" t="s">
        <v>7223</v>
      </c>
      <c r="G2947">
        <v>2</v>
      </c>
      <c r="H2947" t="s">
        <v>7220</v>
      </c>
      <c r="I2947" t="s">
        <v>122</v>
      </c>
      <c r="J2947" t="s">
        <v>1738</v>
      </c>
      <c r="K2947" t="s">
        <v>56</v>
      </c>
      <c r="L2947" t="s">
        <v>7224</v>
      </c>
      <c r="M2947" s="3" t="str">
        <f>HYPERLINK("..\..\Imagery\ScannedPhotos\1993\CG93-409.1.jpg")</f>
        <v>..\..\Imagery\ScannedPhotos\1993\CG93-409.1.jpg</v>
      </c>
    </row>
    <row r="2948" spans="1:13" x14ac:dyDescent="0.25">
      <c r="A2948" t="s">
        <v>7222</v>
      </c>
      <c r="B2948">
        <v>557214</v>
      </c>
      <c r="C2948">
        <v>5741075</v>
      </c>
      <c r="D2948">
        <v>21</v>
      </c>
      <c r="E2948" t="s">
        <v>15</v>
      </c>
      <c r="F2948" t="s">
        <v>7225</v>
      </c>
      <c r="G2948">
        <v>2</v>
      </c>
      <c r="H2948" t="s">
        <v>7220</v>
      </c>
      <c r="I2948" t="s">
        <v>126</v>
      </c>
      <c r="J2948" t="s">
        <v>1738</v>
      </c>
      <c r="K2948" t="s">
        <v>56</v>
      </c>
      <c r="L2948" t="s">
        <v>7224</v>
      </c>
      <c r="M2948" s="3" t="str">
        <f>HYPERLINK("..\..\Imagery\ScannedPhotos\1993\CG93-409.2.jpg")</f>
        <v>..\..\Imagery\ScannedPhotos\1993\CG93-409.2.jpg</v>
      </c>
    </row>
    <row r="2949" spans="1:13" x14ac:dyDescent="0.25">
      <c r="A2949" t="s">
        <v>7226</v>
      </c>
      <c r="B2949">
        <v>557607</v>
      </c>
      <c r="C2949">
        <v>5741435</v>
      </c>
      <c r="D2949">
        <v>21</v>
      </c>
      <c r="E2949" t="s">
        <v>15</v>
      </c>
      <c r="F2949" t="s">
        <v>7227</v>
      </c>
      <c r="G2949">
        <v>1</v>
      </c>
      <c r="H2949" t="s">
        <v>7220</v>
      </c>
      <c r="I2949" t="s">
        <v>108</v>
      </c>
      <c r="J2949" t="s">
        <v>1738</v>
      </c>
      <c r="K2949" t="s">
        <v>20</v>
      </c>
      <c r="L2949" t="s">
        <v>7228</v>
      </c>
      <c r="M2949" s="3" t="str">
        <f>HYPERLINK("..\..\Imagery\ScannedPhotos\1993\CG93-410.jpg")</f>
        <v>..\..\Imagery\ScannedPhotos\1993\CG93-410.jpg</v>
      </c>
    </row>
    <row r="2950" spans="1:13" x14ac:dyDescent="0.25">
      <c r="A2950" t="s">
        <v>4016</v>
      </c>
      <c r="B2950">
        <v>491182</v>
      </c>
      <c r="C2950">
        <v>5831928</v>
      </c>
      <c r="D2950">
        <v>21</v>
      </c>
      <c r="E2950" t="s">
        <v>15</v>
      </c>
      <c r="F2950" t="s">
        <v>7229</v>
      </c>
      <c r="G2950">
        <v>8</v>
      </c>
      <c r="H2950" t="s">
        <v>890</v>
      </c>
      <c r="I2950" t="s">
        <v>281</v>
      </c>
      <c r="J2950" t="s">
        <v>891</v>
      </c>
      <c r="K2950" t="s">
        <v>20</v>
      </c>
      <c r="L2950" t="s">
        <v>4018</v>
      </c>
      <c r="M2950" s="3" t="str">
        <f>HYPERLINK("..\..\Imagery\ScannedPhotos\1991\VN91-221.3.jpg")</f>
        <v>..\..\Imagery\ScannedPhotos\1991\VN91-221.3.jpg</v>
      </c>
    </row>
    <row r="2951" spans="1:13" x14ac:dyDescent="0.25">
      <c r="A2951" t="s">
        <v>7230</v>
      </c>
      <c r="B2951">
        <v>568615</v>
      </c>
      <c r="C2951">
        <v>5947352</v>
      </c>
      <c r="D2951">
        <v>21</v>
      </c>
      <c r="E2951" t="s">
        <v>15</v>
      </c>
      <c r="F2951" t="s">
        <v>7231</v>
      </c>
      <c r="G2951">
        <v>1</v>
      </c>
      <c r="H2951" t="s">
        <v>1373</v>
      </c>
      <c r="I2951" t="s">
        <v>52</v>
      </c>
      <c r="J2951" t="s">
        <v>1374</v>
      </c>
      <c r="K2951" t="s">
        <v>56</v>
      </c>
      <c r="L2951" t="s">
        <v>7232</v>
      </c>
      <c r="M2951" s="3" t="str">
        <f>HYPERLINK("..\..\Imagery\ScannedPhotos\1985\CG85-542.jpg")</f>
        <v>..\..\Imagery\ScannedPhotos\1985\CG85-542.jpg</v>
      </c>
    </row>
    <row r="2952" spans="1:13" x14ac:dyDescent="0.25">
      <c r="A2952" t="s">
        <v>7233</v>
      </c>
      <c r="B2952">
        <v>571063</v>
      </c>
      <c r="C2952">
        <v>5939503</v>
      </c>
      <c r="D2952">
        <v>21</v>
      </c>
      <c r="E2952" t="s">
        <v>15</v>
      </c>
      <c r="F2952" t="s">
        <v>7234</v>
      </c>
      <c r="G2952">
        <v>3</v>
      </c>
      <c r="H2952" t="s">
        <v>1373</v>
      </c>
      <c r="I2952" t="s">
        <v>409</v>
      </c>
      <c r="J2952" t="s">
        <v>1374</v>
      </c>
      <c r="K2952" t="s">
        <v>20</v>
      </c>
      <c r="L2952" t="s">
        <v>7235</v>
      </c>
      <c r="M2952" s="3" t="str">
        <f>HYPERLINK("..\..\Imagery\ScannedPhotos\1985\CG85-545.3.jpg")</f>
        <v>..\..\Imagery\ScannedPhotos\1985\CG85-545.3.jpg</v>
      </c>
    </row>
    <row r="2953" spans="1:13" x14ac:dyDescent="0.25">
      <c r="A2953" t="s">
        <v>625</v>
      </c>
      <c r="B2953">
        <v>571736</v>
      </c>
      <c r="C2953">
        <v>5938757</v>
      </c>
      <c r="D2953">
        <v>21</v>
      </c>
      <c r="E2953" t="s">
        <v>15</v>
      </c>
      <c r="F2953" t="s">
        <v>7236</v>
      </c>
      <c r="G2953">
        <v>2</v>
      </c>
      <c r="H2953" t="s">
        <v>627</v>
      </c>
      <c r="I2953" t="s">
        <v>79</v>
      </c>
      <c r="J2953" t="s">
        <v>628</v>
      </c>
      <c r="K2953" t="s">
        <v>20</v>
      </c>
      <c r="L2953" t="s">
        <v>7237</v>
      </c>
      <c r="M2953" s="3" t="str">
        <f>HYPERLINK("..\..\Imagery\ScannedPhotos\1985\CG85-547.1.jpg")</f>
        <v>..\..\Imagery\ScannedPhotos\1985\CG85-547.1.jpg</v>
      </c>
    </row>
    <row r="2954" spans="1:13" x14ac:dyDescent="0.25">
      <c r="A2954" t="s">
        <v>7238</v>
      </c>
      <c r="B2954">
        <v>369722</v>
      </c>
      <c r="C2954">
        <v>6006946</v>
      </c>
      <c r="D2954">
        <v>21</v>
      </c>
      <c r="E2954" t="s">
        <v>15</v>
      </c>
      <c r="F2954" t="s">
        <v>7239</v>
      </c>
      <c r="G2954">
        <v>1</v>
      </c>
      <c r="H2954" t="s">
        <v>226</v>
      </c>
      <c r="I2954" t="s">
        <v>119</v>
      </c>
      <c r="J2954" t="s">
        <v>227</v>
      </c>
      <c r="K2954" t="s">
        <v>20</v>
      </c>
      <c r="L2954" t="s">
        <v>7240</v>
      </c>
      <c r="M2954" s="3" t="str">
        <f>HYPERLINK("..\..\Imagery\ScannedPhotos\1983\CG83-125.jpg")</f>
        <v>..\..\Imagery\ScannedPhotos\1983\CG83-125.jpg</v>
      </c>
    </row>
    <row r="2955" spans="1:13" x14ac:dyDescent="0.25">
      <c r="A2955" t="s">
        <v>7241</v>
      </c>
      <c r="B2955">
        <v>368799</v>
      </c>
      <c r="C2955">
        <v>6007102</v>
      </c>
      <c r="D2955">
        <v>21</v>
      </c>
      <c r="E2955" t="s">
        <v>15</v>
      </c>
      <c r="F2955" t="s">
        <v>7242</v>
      </c>
      <c r="G2955">
        <v>3</v>
      </c>
      <c r="H2955" t="s">
        <v>226</v>
      </c>
      <c r="I2955" t="s">
        <v>108</v>
      </c>
      <c r="J2955" t="s">
        <v>227</v>
      </c>
      <c r="K2955" t="s">
        <v>935</v>
      </c>
      <c r="L2955" t="s">
        <v>7243</v>
      </c>
      <c r="M2955" s="3" t="str">
        <f>HYPERLINK("..\..\Imagery\ScannedPhotos\1983\CG83-127.3.jpg")</f>
        <v>..\..\Imagery\ScannedPhotos\1983\CG83-127.3.jpg</v>
      </c>
    </row>
    <row r="2956" spans="1:13" x14ac:dyDescent="0.25">
      <c r="A2956" t="s">
        <v>7244</v>
      </c>
      <c r="B2956">
        <v>554290</v>
      </c>
      <c r="C2956">
        <v>5737370</v>
      </c>
      <c r="D2956">
        <v>21</v>
      </c>
      <c r="E2956" t="s">
        <v>15</v>
      </c>
      <c r="F2956" t="s">
        <v>7245</v>
      </c>
      <c r="G2956">
        <v>2</v>
      </c>
      <c r="H2956" t="s">
        <v>6322</v>
      </c>
      <c r="I2956" t="s">
        <v>281</v>
      </c>
      <c r="J2956" t="s">
        <v>996</v>
      </c>
      <c r="K2956" t="s">
        <v>20</v>
      </c>
      <c r="L2956" t="s">
        <v>7246</v>
      </c>
      <c r="M2956" s="3" t="str">
        <f>HYPERLINK("..\..\Imagery\ScannedPhotos\1993\VN93-334.1.jpg")</f>
        <v>..\..\Imagery\ScannedPhotos\1993\VN93-334.1.jpg</v>
      </c>
    </row>
    <row r="2957" spans="1:13" x14ac:dyDescent="0.25">
      <c r="A2957" t="s">
        <v>3767</v>
      </c>
      <c r="B2957">
        <v>378782</v>
      </c>
      <c r="C2957">
        <v>5885057</v>
      </c>
      <c r="D2957">
        <v>21</v>
      </c>
      <c r="E2957" t="s">
        <v>15</v>
      </c>
      <c r="F2957" t="s">
        <v>7247</v>
      </c>
      <c r="G2957">
        <v>4</v>
      </c>
      <c r="H2957" t="s">
        <v>3762</v>
      </c>
      <c r="I2957" t="s">
        <v>195</v>
      </c>
      <c r="J2957" t="s">
        <v>557</v>
      </c>
      <c r="K2957" t="s">
        <v>20</v>
      </c>
      <c r="L2957" t="s">
        <v>7248</v>
      </c>
      <c r="M2957" s="3" t="str">
        <f>HYPERLINK("..\..\Imagery\ScannedPhotos\1995\CG95-316.2.jpg")</f>
        <v>..\..\Imagery\ScannedPhotos\1995\CG95-316.2.jpg</v>
      </c>
    </row>
    <row r="2958" spans="1:13" x14ac:dyDescent="0.25">
      <c r="A2958" t="s">
        <v>3767</v>
      </c>
      <c r="B2958">
        <v>378782</v>
      </c>
      <c r="C2958">
        <v>5885057</v>
      </c>
      <c r="D2958">
        <v>21</v>
      </c>
      <c r="E2958" t="s">
        <v>15</v>
      </c>
      <c r="F2958" t="s">
        <v>7249</v>
      </c>
      <c r="G2958">
        <v>4</v>
      </c>
      <c r="H2958" t="s">
        <v>3762</v>
      </c>
      <c r="I2958" t="s">
        <v>304</v>
      </c>
      <c r="J2958" t="s">
        <v>557</v>
      </c>
      <c r="K2958" t="s">
        <v>20</v>
      </c>
      <c r="L2958" t="s">
        <v>7248</v>
      </c>
      <c r="M2958" s="3" t="str">
        <f>HYPERLINK("..\..\Imagery\ScannedPhotos\1995\CG95-316.1.jpg")</f>
        <v>..\..\Imagery\ScannedPhotos\1995\CG95-316.1.jpg</v>
      </c>
    </row>
    <row r="2959" spans="1:13" x14ac:dyDescent="0.25">
      <c r="A2959" t="s">
        <v>4074</v>
      </c>
      <c r="B2959">
        <v>445850</v>
      </c>
      <c r="C2959">
        <v>5771550</v>
      </c>
      <c r="D2959">
        <v>21</v>
      </c>
      <c r="E2959" t="s">
        <v>15</v>
      </c>
      <c r="F2959" t="s">
        <v>7250</v>
      </c>
      <c r="G2959">
        <v>15</v>
      </c>
      <c r="H2959" t="s">
        <v>746</v>
      </c>
      <c r="I2959" t="s">
        <v>209</v>
      </c>
      <c r="J2959" t="s">
        <v>747</v>
      </c>
      <c r="K2959" t="s">
        <v>20</v>
      </c>
      <c r="L2959" t="s">
        <v>7251</v>
      </c>
      <c r="M2959" s="3" t="str">
        <f>HYPERLINK("..\..\Imagery\ScannedPhotos\1992\VN92-197.3.jpg")</f>
        <v>..\..\Imagery\ScannedPhotos\1992\VN92-197.3.jpg</v>
      </c>
    </row>
    <row r="2960" spans="1:13" x14ac:dyDescent="0.25">
      <c r="A2960" t="s">
        <v>4074</v>
      </c>
      <c r="B2960">
        <v>445850</v>
      </c>
      <c r="C2960">
        <v>5771550</v>
      </c>
      <c r="D2960">
        <v>21</v>
      </c>
      <c r="E2960" t="s">
        <v>15</v>
      </c>
      <c r="F2960" t="s">
        <v>7252</v>
      </c>
      <c r="G2960">
        <v>15</v>
      </c>
      <c r="H2960" t="s">
        <v>746</v>
      </c>
      <c r="I2960" t="s">
        <v>386</v>
      </c>
      <c r="J2960" t="s">
        <v>747</v>
      </c>
      <c r="K2960" t="s">
        <v>20</v>
      </c>
      <c r="L2960" t="s">
        <v>7253</v>
      </c>
      <c r="M2960" s="3" t="str">
        <f>HYPERLINK("..\..\Imagery\ScannedPhotos\1992\VN92-197.4.jpg")</f>
        <v>..\..\Imagery\ScannedPhotos\1992\VN92-197.4.jpg</v>
      </c>
    </row>
    <row r="2961" spans="1:13" x14ac:dyDescent="0.25">
      <c r="A2961" t="s">
        <v>7254</v>
      </c>
      <c r="B2961">
        <v>553818</v>
      </c>
      <c r="C2961">
        <v>5816841</v>
      </c>
      <c r="D2961">
        <v>21</v>
      </c>
      <c r="E2961" t="s">
        <v>15</v>
      </c>
      <c r="F2961" t="s">
        <v>7255</v>
      </c>
      <c r="G2961">
        <v>3</v>
      </c>
      <c r="K2961" t="s">
        <v>20</v>
      </c>
      <c r="L2961" t="s">
        <v>1530</v>
      </c>
      <c r="M2961" s="3" t="str">
        <f>HYPERLINK("..\..\Imagery\ScannedPhotos\2003\CG03-208.2.jpg")</f>
        <v>..\..\Imagery\ScannedPhotos\2003\CG03-208.2.jpg</v>
      </c>
    </row>
    <row r="2962" spans="1:13" x14ac:dyDescent="0.25">
      <c r="A2962" t="s">
        <v>7256</v>
      </c>
      <c r="B2962">
        <v>553560</v>
      </c>
      <c r="C2962">
        <v>5817187</v>
      </c>
      <c r="D2962">
        <v>21</v>
      </c>
      <c r="E2962" t="s">
        <v>15</v>
      </c>
      <c r="F2962" t="s">
        <v>7257</v>
      </c>
      <c r="G2962">
        <v>1</v>
      </c>
      <c r="K2962" t="s">
        <v>56</v>
      </c>
      <c r="L2962" t="s">
        <v>7258</v>
      </c>
      <c r="M2962" s="3" t="str">
        <f>HYPERLINK("..\..\Imagery\ScannedPhotos\2003\CG03-209.jpg")</f>
        <v>..\..\Imagery\ScannedPhotos\2003\CG03-209.jpg</v>
      </c>
    </row>
    <row r="2963" spans="1:13" x14ac:dyDescent="0.25">
      <c r="A2963" t="s">
        <v>1528</v>
      </c>
      <c r="B2963">
        <v>550169</v>
      </c>
      <c r="C2963">
        <v>5818523</v>
      </c>
      <c r="D2963">
        <v>21</v>
      </c>
      <c r="E2963" t="s">
        <v>15</v>
      </c>
      <c r="F2963" t="s">
        <v>7259</v>
      </c>
      <c r="G2963">
        <v>2</v>
      </c>
      <c r="K2963" t="s">
        <v>20</v>
      </c>
      <c r="L2963" t="s">
        <v>7260</v>
      </c>
      <c r="M2963" s="3" t="str">
        <f>HYPERLINK("..\..\Imagery\ScannedPhotos\2003\CG03-215.1.jpg")</f>
        <v>..\..\Imagery\ScannedPhotos\2003\CG03-215.1.jpg</v>
      </c>
    </row>
    <row r="2964" spans="1:13" x14ac:dyDescent="0.25">
      <c r="A2964" t="s">
        <v>230</v>
      </c>
      <c r="B2964">
        <v>582004</v>
      </c>
      <c r="C2964">
        <v>5805888</v>
      </c>
      <c r="D2964">
        <v>21</v>
      </c>
      <c r="E2964" t="s">
        <v>15</v>
      </c>
      <c r="F2964" t="s">
        <v>7261</v>
      </c>
      <c r="G2964">
        <v>2</v>
      </c>
      <c r="K2964" t="s">
        <v>56</v>
      </c>
      <c r="L2964" t="s">
        <v>7262</v>
      </c>
      <c r="M2964" s="3" t="str">
        <f>HYPERLINK("..\..\Imagery\ScannedPhotos\2003\CG03-288.1.jpg")</f>
        <v>..\..\Imagery\ScannedPhotos\2003\CG03-288.1.jpg</v>
      </c>
    </row>
    <row r="2965" spans="1:13" x14ac:dyDescent="0.25">
      <c r="A2965" t="s">
        <v>7263</v>
      </c>
      <c r="B2965">
        <v>582775</v>
      </c>
      <c r="C2965">
        <v>5805777</v>
      </c>
      <c r="D2965">
        <v>21</v>
      </c>
      <c r="E2965" t="s">
        <v>15</v>
      </c>
      <c r="F2965" t="s">
        <v>7264</v>
      </c>
      <c r="G2965">
        <v>1</v>
      </c>
      <c r="K2965" t="s">
        <v>56</v>
      </c>
      <c r="L2965" t="s">
        <v>7265</v>
      </c>
      <c r="M2965" s="3" t="str">
        <f>HYPERLINK("..\..\Imagery\ScannedPhotos\2003\CG03-290.jpg")</f>
        <v>..\..\Imagery\ScannedPhotos\2003\CG03-290.jpg</v>
      </c>
    </row>
    <row r="2966" spans="1:13" x14ac:dyDescent="0.25">
      <c r="A2966" t="s">
        <v>7266</v>
      </c>
      <c r="B2966">
        <v>585844</v>
      </c>
      <c r="C2966">
        <v>5805005</v>
      </c>
      <c r="D2966">
        <v>21</v>
      </c>
      <c r="E2966" t="s">
        <v>15</v>
      </c>
      <c r="F2966" t="s">
        <v>7267</v>
      </c>
      <c r="G2966">
        <v>2</v>
      </c>
      <c r="K2966" t="s">
        <v>56</v>
      </c>
      <c r="L2966" t="s">
        <v>7268</v>
      </c>
      <c r="M2966" s="3" t="str">
        <f>HYPERLINK("..\..\Imagery\ScannedPhotos\2003\CG03-298.1.jpg")</f>
        <v>..\..\Imagery\ScannedPhotos\2003\CG03-298.1.jpg</v>
      </c>
    </row>
    <row r="2967" spans="1:13" x14ac:dyDescent="0.25">
      <c r="A2967" t="s">
        <v>7266</v>
      </c>
      <c r="B2967">
        <v>585844</v>
      </c>
      <c r="C2967">
        <v>5805005</v>
      </c>
      <c r="D2967">
        <v>21</v>
      </c>
      <c r="E2967" t="s">
        <v>15</v>
      </c>
      <c r="F2967" t="s">
        <v>7269</v>
      </c>
      <c r="G2967">
        <v>2</v>
      </c>
      <c r="K2967" t="s">
        <v>56</v>
      </c>
      <c r="L2967" t="s">
        <v>7270</v>
      </c>
      <c r="M2967" s="3" t="str">
        <f>HYPERLINK("..\..\Imagery\ScannedPhotos\2003\CG03-298.2.jpg")</f>
        <v>..\..\Imagery\ScannedPhotos\2003\CG03-298.2.jpg</v>
      </c>
    </row>
    <row r="2968" spans="1:13" x14ac:dyDescent="0.25">
      <c r="A2968" t="s">
        <v>7271</v>
      </c>
      <c r="B2968">
        <v>510936</v>
      </c>
      <c r="C2968">
        <v>5932271</v>
      </c>
      <c r="D2968">
        <v>21</v>
      </c>
      <c r="E2968" t="s">
        <v>15</v>
      </c>
      <c r="F2968" t="s">
        <v>7272</v>
      </c>
      <c r="G2968">
        <v>4</v>
      </c>
      <c r="K2968" t="s">
        <v>20</v>
      </c>
      <c r="L2968" t="s">
        <v>7273</v>
      </c>
      <c r="M2968" s="3" t="str">
        <f>HYPERLINK("..\..\Imagery\ScannedPhotos\2004\CG04-273.1.jpg")</f>
        <v>..\..\Imagery\ScannedPhotos\2004\CG04-273.1.jpg</v>
      </c>
    </row>
    <row r="2969" spans="1:13" x14ac:dyDescent="0.25">
      <c r="A2969" t="s">
        <v>7271</v>
      </c>
      <c r="B2969">
        <v>510936</v>
      </c>
      <c r="C2969">
        <v>5932271</v>
      </c>
      <c r="D2969">
        <v>21</v>
      </c>
      <c r="E2969" t="s">
        <v>15</v>
      </c>
      <c r="F2969" t="s">
        <v>7274</v>
      </c>
      <c r="G2969">
        <v>4</v>
      </c>
      <c r="K2969" t="s">
        <v>56</v>
      </c>
      <c r="L2969" t="s">
        <v>7275</v>
      </c>
      <c r="M2969" s="3" t="str">
        <f>HYPERLINK("..\..\Imagery\ScannedPhotos\2004\CG04-273.2.jpg")</f>
        <v>..\..\Imagery\ScannedPhotos\2004\CG04-273.2.jpg</v>
      </c>
    </row>
    <row r="2970" spans="1:13" x14ac:dyDescent="0.25">
      <c r="A2970" t="s">
        <v>7271</v>
      </c>
      <c r="B2970">
        <v>510936</v>
      </c>
      <c r="C2970">
        <v>5932271</v>
      </c>
      <c r="D2970">
        <v>21</v>
      </c>
      <c r="E2970" t="s">
        <v>15</v>
      </c>
      <c r="F2970" t="s">
        <v>7276</v>
      </c>
      <c r="G2970">
        <v>4</v>
      </c>
      <c r="K2970" t="s">
        <v>56</v>
      </c>
      <c r="L2970" t="s">
        <v>7277</v>
      </c>
      <c r="M2970" s="3" t="str">
        <f>HYPERLINK("..\..\Imagery\ScannedPhotos\2004\CG04-273.3.jpg")</f>
        <v>..\..\Imagery\ScannedPhotos\2004\CG04-273.3.jpg</v>
      </c>
    </row>
    <row r="2971" spans="1:13" x14ac:dyDescent="0.25">
      <c r="A2971" t="s">
        <v>7271</v>
      </c>
      <c r="B2971">
        <v>510936</v>
      </c>
      <c r="C2971">
        <v>5932271</v>
      </c>
      <c r="D2971">
        <v>21</v>
      </c>
      <c r="E2971" t="s">
        <v>15</v>
      </c>
      <c r="F2971" t="s">
        <v>7278</v>
      </c>
      <c r="G2971">
        <v>4</v>
      </c>
      <c r="K2971" t="s">
        <v>56</v>
      </c>
      <c r="L2971" t="s">
        <v>7277</v>
      </c>
      <c r="M2971" s="3" t="str">
        <f>HYPERLINK("..\..\Imagery\ScannedPhotos\2004\CG04-273.4.jpg")</f>
        <v>..\..\Imagery\ScannedPhotos\2004\CG04-273.4.jpg</v>
      </c>
    </row>
    <row r="2972" spans="1:13" x14ac:dyDescent="0.25">
      <c r="A2972" t="s">
        <v>6126</v>
      </c>
      <c r="B2972">
        <v>500522</v>
      </c>
      <c r="C2972">
        <v>5950978</v>
      </c>
      <c r="D2972">
        <v>21</v>
      </c>
      <c r="E2972" t="s">
        <v>15</v>
      </c>
      <c r="F2972" t="s">
        <v>7279</v>
      </c>
      <c r="G2972">
        <v>7</v>
      </c>
      <c r="K2972" t="s">
        <v>228</v>
      </c>
      <c r="L2972" t="s">
        <v>6128</v>
      </c>
      <c r="M2972" s="3" t="str">
        <f>HYPERLINK("..\..\Imagery\ScannedPhotos\2004\CG04-278.1.jpg")</f>
        <v>..\..\Imagery\ScannedPhotos\2004\CG04-278.1.jpg</v>
      </c>
    </row>
    <row r="2973" spans="1:13" x14ac:dyDescent="0.25">
      <c r="A2973" t="s">
        <v>6126</v>
      </c>
      <c r="B2973">
        <v>500522</v>
      </c>
      <c r="C2973">
        <v>5950978</v>
      </c>
      <c r="D2973">
        <v>21</v>
      </c>
      <c r="E2973" t="s">
        <v>15</v>
      </c>
      <c r="F2973" t="s">
        <v>7280</v>
      </c>
      <c r="G2973">
        <v>7</v>
      </c>
      <c r="K2973" t="s">
        <v>228</v>
      </c>
      <c r="L2973" t="s">
        <v>7281</v>
      </c>
      <c r="M2973" s="3" t="str">
        <f>HYPERLINK("..\..\Imagery\ScannedPhotos\2004\CG04-278.2.jpg")</f>
        <v>..\..\Imagery\ScannedPhotos\2004\CG04-278.2.jpg</v>
      </c>
    </row>
    <row r="2974" spans="1:13" x14ac:dyDescent="0.25">
      <c r="A2974" t="s">
        <v>6126</v>
      </c>
      <c r="B2974">
        <v>500522</v>
      </c>
      <c r="C2974">
        <v>5950978</v>
      </c>
      <c r="D2974">
        <v>21</v>
      </c>
      <c r="E2974" t="s">
        <v>15</v>
      </c>
      <c r="F2974" t="s">
        <v>7282</v>
      </c>
      <c r="G2974">
        <v>7</v>
      </c>
      <c r="K2974" t="s">
        <v>228</v>
      </c>
      <c r="L2974" t="s">
        <v>7281</v>
      </c>
      <c r="M2974" s="3" t="str">
        <f>HYPERLINK("..\..\Imagery\ScannedPhotos\2004\CG04-278.3.jpg")</f>
        <v>..\..\Imagery\ScannedPhotos\2004\CG04-278.3.jpg</v>
      </c>
    </row>
    <row r="2975" spans="1:13" x14ac:dyDescent="0.25">
      <c r="A2975" t="s">
        <v>7283</v>
      </c>
      <c r="B2975">
        <v>363184</v>
      </c>
      <c r="C2975">
        <v>5786309</v>
      </c>
      <c r="D2975">
        <v>21</v>
      </c>
      <c r="E2975" t="s">
        <v>15</v>
      </c>
      <c r="F2975" t="s">
        <v>7284</v>
      </c>
      <c r="G2975">
        <v>2</v>
      </c>
      <c r="H2975" t="s">
        <v>766</v>
      </c>
      <c r="I2975" t="s">
        <v>209</v>
      </c>
      <c r="J2975" t="s">
        <v>767</v>
      </c>
      <c r="K2975" t="s">
        <v>20</v>
      </c>
      <c r="L2975" t="s">
        <v>6457</v>
      </c>
      <c r="M2975" s="3" t="str">
        <f>HYPERLINK("..\..\Imagery\ScannedPhotos\1999\CG99-372.2.jpg")</f>
        <v>..\..\Imagery\ScannedPhotos\1999\CG99-372.2.jpg</v>
      </c>
    </row>
    <row r="2976" spans="1:13" x14ac:dyDescent="0.25">
      <c r="A2976" t="s">
        <v>7285</v>
      </c>
      <c r="B2976">
        <v>574522</v>
      </c>
      <c r="C2976">
        <v>5845028</v>
      </c>
      <c r="D2976">
        <v>21</v>
      </c>
      <c r="E2976" t="s">
        <v>15</v>
      </c>
      <c r="F2976" t="s">
        <v>7286</v>
      </c>
      <c r="G2976">
        <v>1</v>
      </c>
      <c r="H2976" t="s">
        <v>2130</v>
      </c>
      <c r="I2976" t="s">
        <v>47</v>
      </c>
      <c r="J2976" t="s">
        <v>300</v>
      </c>
      <c r="K2976" t="s">
        <v>56</v>
      </c>
      <c r="L2976" t="s">
        <v>7287</v>
      </c>
      <c r="M2976" s="3" t="str">
        <f>HYPERLINK("..\..\Imagery\ScannedPhotos\1986\JS86-439.jpg")</f>
        <v>..\..\Imagery\ScannedPhotos\1986\JS86-439.jpg</v>
      </c>
    </row>
    <row r="2977" spans="1:13" x14ac:dyDescent="0.25">
      <c r="A2977" t="s">
        <v>7288</v>
      </c>
      <c r="B2977">
        <v>493800</v>
      </c>
      <c r="C2977">
        <v>5865081</v>
      </c>
      <c r="D2977">
        <v>21</v>
      </c>
      <c r="E2977" t="s">
        <v>15</v>
      </c>
      <c r="F2977" t="s">
        <v>7289</v>
      </c>
      <c r="G2977">
        <v>2</v>
      </c>
      <c r="H2977" t="s">
        <v>3569</v>
      </c>
      <c r="I2977" t="s">
        <v>137</v>
      </c>
      <c r="J2977" t="s">
        <v>850</v>
      </c>
      <c r="K2977" t="s">
        <v>56</v>
      </c>
      <c r="L2977" t="s">
        <v>7290</v>
      </c>
      <c r="M2977" s="3" t="str">
        <f>HYPERLINK("..\..\Imagery\ScannedPhotos\1991\VN91-052.1.jpg")</f>
        <v>..\..\Imagery\ScannedPhotos\1991\VN91-052.1.jpg</v>
      </c>
    </row>
    <row r="2978" spans="1:13" x14ac:dyDescent="0.25">
      <c r="A2978" t="s">
        <v>7288</v>
      </c>
      <c r="B2978">
        <v>493800</v>
      </c>
      <c r="C2978">
        <v>5865081</v>
      </c>
      <c r="D2978">
        <v>21</v>
      </c>
      <c r="E2978" t="s">
        <v>15</v>
      </c>
      <c r="F2978" t="s">
        <v>7291</v>
      </c>
      <c r="G2978">
        <v>2</v>
      </c>
      <c r="H2978" t="s">
        <v>3569</v>
      </c>
      <c r="I2978" t="s">
        <v>18</v>
      </c>
      <c r="J2978" t="s">
        <v>850</v>
      </c>
      <c r="K2978" t="s">
        <v>20</v>
      </c>
      <c r="L2978" t="s">
        <v>3743</v>
      </c>
      <c r="M2978" s="3" t="str">
        <f>HYPERLINK("..\..\Imagery\ScannedPhotos\1991\VN91-052.2.jpg")</f>
        <v>..\..\Imagery\ScannedPhotos\1991\VN91-052.2.jpg</v>
      </c>
    </row>
    <row r="2979" spans="1:13" x14ac:dyDescent="0.25">
      <c r="A2979" t="s">
        <v>7292</v>
      </c>
      <c r="B2979">
        <v>486050</v>
      </c>
      <c r="C2979">
        <v>5869025</v>
      </c>
      <c r="D2979">
        <v>21</v>
      </c>
      <c r="E2979" t="s">
        <v>15</v>
      </c>
      <c r="F2979" t="s">
        <v>7293</v>
      </c>
      <c r="G2979">
        <v>2</v>
      </c>
      <c r="H2979" t="s">
        <v>3569</v>
      </c>
      <c r="I2979" t="s">
        <v>69</v>
      </c>
      <c r="J2979" t="s">
        <v>850</v>
      </c>
      <c r="K2979" t="s">
        <v>20</v>
      </c>
      <c r="L2979" t="s">
        <v>7294</v>
      </c>
      <c r="M2979" s="3" t="str">
        <f>HYPERLINK("..\..\Imagery\ScannedPhotos\1991\VN91-057.2.jpg")</f>
        <v>..\..\Imagery\ScannedPhotos\1991\VN91-057.2.jpg</v>
      </c>
    </row>
    <row r="2980" spans="1:13" x14ac:dyDescent="0.25">
      <c r="A2980" t="s">
        <v>7292</v>
      </c>
      <c r="B2980">
        <v>486050</v>
      </c>
      <c r="C2980">
        <v>5869025</v>
      </c>
      <c r="D2980">
        <v>21</v>
      </c>
      <c r="E2980" t="s">
        <v>15</v>
      </c>
      <c r="F2980" t="s">
        <v>7295</v>
      </c>
      <c r="G2980">
        <v>2</v>
      </c>
      <c r="H2980" t="s">
        <v>3569</v>
      </c>
      <c r="I2980" t="s">
        <v>35</v>
      </c>
      <c r="J2980" t="s">
        <v>850</v>
      </c>
      <c r="K2980" t="s">
        <v>56</v>
      </c>
      <c r="L2980" t="s">
        <v>7296</v>
      </c>
      <c r="M2980" s="3" t="str">
        <f>HYPERLINK("..\..\Imagery\ScannedPhotos\1991\VN91-057.1.jpg")</f>
        <v>..\..\Imagery\ScannedPhotos\1991\VN91-057.1.jpg</v>
      </c>
    </row>
    <row r="2981" spans="1:13" x14ac:dyDescent="0.25">
      <c r="A2981" t="s">
        <v>7297</v>
      </c>
      <c r="B2981">
        <v>471250</v>
      </c>
      <c r="C2981">
        <v>5866875</v>
      </c>
      <c r="D2981">
        <v>21</v>
      </c>
      <c r="E2981" t="s">
        <v>15</v>
      </c>
      <c r="F2981" t="s">
        <v>7298</v>
      </c>
      <c r="G2981">
        <v>5</v>
      </c>
      <c r="H2981" t="s">
        <v>1048</v>
      </c>
      <c r="I2981" t="s">
        <v>18</v>
      </c>
      <c r="J2981" t="s">
        <v>1038</v>
      </c>
      <c r="K2981" t="s">
        <v>20</v>
      </c>
      <c r="L2981" t="s">
        <v>858</v>
      </c>
      <c r="M2981" s="3" t="str">
        <f>HYPERLINK("..\..\Imagery\ScannedPhotos\1991\DD91-111.1.jpg")</f>
        <v>..\..\Imagery\ScannedPhotos\1991\DD91-111.1.jpg</v>
      </c>
    </row>
    <row r="2982" spans="1:13" x14ac:dyDescent="0.25">
      <c r="A2982" t="s">
        <v>7297</v>
      </c>
      <c r="B2982">
        <v>471250</v>
      </c>
      <c r="C2982">
        <v>5866875</v>
      </c>
      <c r="D2982">
        <v>21</v>
      </c>
      <c r="E2982" t="s">
        <v>15</v>
      </c>
      <c r="F2982" t="s">
        <v>7299</v>
      </c>
      <c r="G2982">
        <v>5</v>
      </c>
      <c r="H2982" t="s">
        <v>1048</v>
      </c>
      <c r="I2982" t="s">
        <v>35</v>
      </c>
      <c r="J2982" t="s">
        <v>1038</v>
      </c>
      <c r="K2982" t="s">
        <v>20</v>
      </c>
      <c r="L2982" t="s">
        <v>858</v>
      </c>
      <c r="M2982" s="3" t="str">
        <f>HYPERLINK("..\..\Imagery\ScannedPhotos\1991\DD91-111.2.jpg")</f>
        <v>..\..\Imagery\ScannedPhotos\1991\DD91-111.2.jpg</v>
      </c>
    </row>
    <row r="2983" spans="1:13" x14ac:dyDescent="0.25">
      <c r="A2983" t="s">
        <v>7297</v>
      </c>
      <c r="B2983">
        <v>471250</v>
      </c>
      <c r="C2983">
        <v>5866875</v>
      </c>
      <c r="D2983">
        <v>21</v>
      </c>
      <c r="E2983" t="s">
        <v>15</v>
      </c>
      <c r="F2983" t="s">
        <v>7300</v>
      </c>
      <c r="G2983">
        <v>5</v>
      </c>
      <c r="H2983" t="s">
        <v>1048</v>
      </c>
      <c r="I2983" t="s">
        <v>69</v>
      </c>
      <c r="J2983" t="s">
        <v>1038</v>
      </c>
      <c r="K2983" t="s">
        <v>20</v>
      </c>
      <c r="L2983" t="s">
        <v>858</v>
      </c>
      <c r="M2983" s="3" t="str">
        <f>HYPERLINK("..\..\Imagery\ScannedPhotos\1991\DD91-111.3.jpg")</f>
        <v>..\..\Imagery\ScannedPhotos\1991\DD91-111.3.jpg</v>
      </c>
    </row>
    <row r="2984" spans="1:13" x14ac:dyDescent="0.25">
      <c r="A2984" t="s">
        <v>7301</v>
      </c>
      <c r="B2984">
        <v>439140</v>
      </c>
      <c r="C2984">
        <v>5763445</v>
      </c>
      <c r="D2984">
        <v>21</v>
      </c>
      <c r="E2984" t="s">
        <v>15</v>
      </c>
      <c r="F2984" t="s">
        <v>7302</v>
      </c>
      <c r="G2984">
        <v>5</v>
      </c>
      <c r="H2984" t="s">
        <v>904</v>
      </c>
      <c r="I2984" t="s">
        <v>30</v>
      </c>
      <c r="J2984" t="s">
        <v>905</v>
      </c>
      <c r="K2984" t="s">
        <v>20</v>
      </c>
      <c r="L2984" t="s">
        <v>7303</v>
      </c>
      <c r="M2984" s="3" t="str">
        <f>HYPERLINK("..\..\Imagery\ScannedPhotos\1992\VN92-223.3.jpg")</f>
        <v>..\..\Imagery\ScannedPhotos\1992\VN92-223.3.jpg</v>
      </c>
    </row>
    <row r="2985" spans="1:13" x14ac:dyDescent="0.25">
      <c r="A2985" t="s">
        <v>7304</v>
      </c>
      <c r="B2985">
        <v>537557</v>
      </c>
      <c r="C2985">
        <v>5822887</v>
      </c>
      <c r="D2985">
        <v>21</v>
      </c>
      <c r="E2985" t="s">
        <v>15</v>
      </c>
      <c r="F2985" t="s">
        <v>7305</v>
      </c>
      <c r="G2985">
        <v>2</v>
      </c>
      <c r="H2985" t="s">
        <v>1212</v>
      </c>
      <c r="I2985" t="s">
        <v>217</v>
      </c>
      <c r="J2985" t="s">
        <v>100</v>
      </c>
      <c r="K2985" t="s">
        <v>20</v>
      </c>
      <c r="L2985" t="s">
        <v>7306</v>
      </c>
      <c r="M2985" s="3" t="str">
        <f>HYPERLINK("..\..\Imagery\ScannedPhotos\1986\JS86-031.2.jpg")</f>
        <v>..\..\Imagery\ScannedPhotos\1986\JS86-031.2.jpg</v>
      </c>
    </row>
    <row r="2986" spans="1:13" x14ac:dyDescent="0.25">
      <c r="A2986" t="s">
        <v>7307</v>
      </c>
      <c r="B2986">
        <v>537163</v>
      </c>
      <c r="C2986">
        <v>5822669</v>
      </c>
      <c r="D2986">
        <v>21</v>
      </c>
      <c r="E2986" t="s">
        <v>15</v>
      </c>
      <c r="F2986" t="s">
        <v>7308</v>
      </c>
      <c r="G2986">
        <v>1</v>
      </c>
      <c r="H2986" t="s">
        <v>1212</v>
      </c>
      <c r="I2986" t="s">
        <v>214</v>
      </c>
      <c r="J2986" t="s">
        <v>100</v>
      </c>
      <c r="K2986" t="s">
        <v>20</v>
      </c>
      <c r="L2986" t="s">
        <v>7309</v>
      </c>
      <c r="M2986" s="3" t="str">
        <f>HYPERLINK("..\..\Imagery\ScannedPhotos\1986\JS86-032.jpg")</f>
        <v>..\..\Imagery\ScannedPhotos\1986\JS86-032.jpg</v>
      </c>
    </row>
    <row r="2987" spans="1:13" x14ac:dyDescent="0.25">
      <c r="A2987" t="s">
        <v>7310</v>
      </c>
      <c r="B2987">
        <v>536470</v>
      </c>
      <c r="C2987">
        <v>5822481</v>
      </c>
      <c r="D2987">
        <v>21</v>
      </c>
      <c r="E2987" t="s">
        <v>15</v>
      </c>
      <c r="F2987" t="s">
        <v>7311</v>
      </c>
      <c r="G2987">
        <v>1</v>
      </c>
      <c r="H2987" t="s">
        <v>1212</v>
      </c>
      <c r="I2987" t="s">
        <v>222</v>
      </c>
      <c r="J2987" t="s">
        <v>100</v>
      </c>
      <c r="K2987" t="s">
        <v>20</v>
      </c>
      <c r="L2987" t="s">
        <v>7312</v>
      </c>
      <c r="M2987" s="3" t="str">
        <f>HYPERLINK("..\..\Imagery\ScannedPhotos\1986\JS86-033.jpg")</f>
        <v>..\..\Imagery\ScannedPhotos\1986\JS86-033.jpg</v>
      </c>
    </row>
    <row r="2988" spans="1:13" x14ac:dyDescent="0.25">
      <c r="A2988" t="s">
        <v>7313</v>
      </c>
      <c r="B2988">
        <v>537868</v>
      </c>
      <c r="C2988">
        <v>5822459</v>
      </c>
      <c r="D2988">
        <v>21</v>
      </c>
      <c r="E2988" t="s">
        <v>15</v>
      </c>
      <c r="F2988" t="s">
        <v>7314</v>
      </c>
      <c r="G2988">
        <v>1</v>
      </c>
      <c r="H2988" t="s">
        <v>1212</v>
      </c>
      <c r="I2988" t="s">
        <v>418</v>
      </c>
      <c r="J2988" t="s">
        <v>100</v>
      </c>
      <c r="K2988" t="s">
        <v>56</v>
      </c>
      <c r="L2988" t="s">
        <v>7315</v>
      </c>
      <c r="M2988" s="3" t="str">
        <f>HYPERLINK("..\..\Imagery\ScannedPhotos\1986\JS86-034.jpg")</f>
        <v>..\..\Imagery\ScannedPhotos\1986\JS86-034.jpg</v>
      </c>
    </row>
    <row r="2989" spans="1:13" x14ac:dyDescent="0.25">
      <c r="A2989" t="s">
        <v>7316</v>
      </c>
      <c r="B2989">
        <v>538658</v>
      </c>
      <c r="C2989">
        <v>5823309</v>
      </c>
      <c r="D2989">
        <v>21</v>
      </c>
      <c r="E2989" t="s">
        <v>15</v>
      </c>
      <c r="F2989" t="s">
        <v>7317</v>
      </c>
      <c r="G2989">
        <v>1</v>
      </c>
      <c r="H2989" t="s">
        <v>1212</v>
      </c>
      <c r="I2989" t="s">
        <v>304</v>
      </c>
      <c r="J2989" t="s">
        <v>100</v>
      </c>
      <c r="K2989" t="s">
        <v>56</v>
      </c>
      <c r="L2989" t="s">
        <v>7318</v>
      </c>
      <c r="M2989" s="3" t="str">
        <f>HYPERLINK("..\..\Imagery\ScannedPhotos\1986\JS86-036.jpg")</f>
        <v>..\..\Imagery\ScannedPhotos\1986\JS86-036.jpg</v>
      </c>
    </row>
    <row r="2990" spans="1:13" x14ac:dyDescent="0.25">
      <c r="A2990" t="s">
        <v>3548</v>
      </c>
      <c r="B2990">
        <v>472050</v>
      </c>
      <c r="C2990">
        <v>5859375</v>
      </c>
      <c r="D2990">
        <v>21</v>
      </c>
      <c r="E2990" t="s">
        <v>15</v>
      </c>
      <c r="F2990" t="s">
        <v>7319</v>
      </c>
      <c r="G2990">
        <v>19</v>
      </c>
      <c r="H2990" t="s">
        <v>2719</v>
      </c>
      <c r="I2990" t="s">
        <v>222</v>
      </c>
      <c r="J2990" t="s">
        <v>891</v>
      </c>
      <c r="K2990" t="s">
        <v>20</v>
      </c>
      <c r="L2990" t="s">
        <v>3550</v>
      </c>
      <c r="M2990" s="3" t="str">
        <f>HYPERLINK("..\..\Imagery\ScannedPhotos\1991\VN91-264.10.jpg")</f>
        <v>..\..\Imagery\ScannedPhotos\1991\VN91-264.10.jpg</v>
      </c>
    </row>
    <row r="2991" spans="1:13" x14ac:dyDescent="0.25">
      <c r="A2991" t="s">
        <v>3548</v>
      </c>
      <c r="B2991">
        <v>472050</v>
      </c>
      <c r="C2991">
        <v>5859375</v>
      </c>
      <c r="D2991">
        <v>21</v>
      </c>
      <c r="E2991" t="s">
        <v>15</v>
      </c>
      <c r="F2991" t="s">
        <v>7320</v>
      </c>
      <c r="G2991">
        <v>19</v>
      </c>
      <c r="H2991" t="s">
        <v>2719</v>
      </c>
      <c r="I2991" t="s">
        <v>209</v>
      </c>
      <c r="J2991" t="s">
        <v>891</v>
      </c>
      <c r="K2991" t="s">
        <v>56</v>
      </c>
      <c r="L2991" t="s">
        <v>7321</v>
      </c>
      <c r="M2991" s="3" t="str">
        <f>HYPERLINK("..\..\Imagery\ScannedPhotos\1991\VN91-264.6.jpg")</f>
        <v>..\..\Imagery\ScannedPhotos\1991\VN91-264.6.jpg</v>
      </c>
    </row>
    <row r="2992" spans="1:13" x14ac:dyDescent="0.25">
      <c r="A2992" t="s">
        <v>7322</v>
      </c>
      <c r="B2992">
        <v>362166</v>
      </c>
      <c r="C2992">
        <v>5765149</v>
      </c>
      <c r="D2992">
        <v>21</v>
      </c>
      <c r="E2992" t="s">
        <v>15</v>
      </c>
      <c r="F2992" t="s">
        <v>7323</v>
      </c>
      <c r="G2992">
        <v>1</v>
      </c>
      <c r="H2992" t="s">
        <v>7324</v>
      </c>
      <c r="I2992" t="s">
        <v>79</v>
      </c>
      <c r="J2992" t="s">
        <v>7325</v>
      </c>
      <c r="K2992" t="s">
        <v>20</v>
      </c>
      <c r="L2992" t="s">
        <v>2632</v>
      </c>
      <c r="M2992" s="3" t="str">
        <f>HYPERLINK("..\..\Imagery\ScannedPhotos\1999\CG99-395.jpg")</f>
        <v>..\..\Imagery\ScannedPhotos\1999\CG99-395.jpg</v>
      </c>
    </row>
    <row r="2993" spans="1:13" x14ac:dyDescent="0.25">
      <c r="A2993" t="s">
        <v>7326</v>
      </c>
      <c r="B2993">
        <v>449365</v>
      </c>
      <c r="C2993">
        <v>5896291</v>
      </c>
      <c r="D2993">
        <v>21</v>
      </c>
      <c r="E2993" t="s">
        <v>15</v>
      </c>
      <c r="F2993" t="s">
        <v>7327</v>
      </c>
      <c r="G2993">
        <v>1</v>
      </c>
      <c r="H2993" t="s">
        <v>5461</v>
      </c>
      <c r="I2993" t="s">
        <v>41</v>
      </c>
      <c r="J2993" t="s">
        <v>2247</v>
      </c>
      <c r="K2993" t="s">
        <v>56</v>
      </c>
      <c r="L2993" t="s">
        <v>7328</v>
      </c>
      <c r="M2993" s="3" t="str">
        <f>HYPERLINK("..\..\Imagery\ScannedPhotos\1984\NN84-308.jpg")</f>
        <v>..\..\Imagery\ScannedPhotos\1984\NN84-308.jpg</v>
      </c>
    </row>
    <row r="2994" spans="1:13" x14ac:dyDescent="0.25">
      <c r="A2994" t="s">
        <v>7329</v>
      </c>
      <c r="B2994">
        <v>438658</v>
      </c>
      <c r="C2994">
        <v>5926723</v>
      </c>
      <c r="D2994">
        <v>21</v>
      </c>
      <c r="E2994" t="s">
        <v>15</v>
      </c>
      <c r="F2994" t="s">
        <v>7330</v>
      </c>
      <c r="G2994">
        <v>2</v>
      </c>
      <c r="H2994" t="s">
        <v>5461</v>
      </c>
      <c r="I2994" t="s">
        <v>222</v>
      </c>
      <c r="J2994" t="s">
        <v>2247</v>
      </c>
      <c r="K2994" t="s">
        <v>20</v>
      </c>
      <c r="L2994" t="s">
        <v>7331</v>
      </c>
      <c r="M2994" s="3" t="str">
        <f>HYPERLINK("..\..\Imagery\ScannedPhotos\1984\NN84-326.1.jpg")</f>
        <v>..\..\Imagery\ScannedPhotos\1984\NN84-326.1.jpg</v>
      </c>
    </row>
    <row r="2995" spans="1:13" x14ac:dyDescent="0.25">
      <c r="A2995" t="s">
        <v>88</v>
      </c>
      <c r="B2995">
        <v>547990</v>
      </c>
      <c r="C2995">
        <v>5841646</v>
      </c>
      <c r="D2995">
        <v>21</v>
      </c>
      <c r="E2995" t="s">
        <v>15</v>
      </c>
      <c r="F2995" t="s">
        <v>7332</v>
      </c>
      <c r="G2995">
        <v>2</v>
      </c>
      <c r="K2995" t="s">
        <v>20</v>
      </c>
      <c r="L2995" t="s">
        <v>90</v>
      </c>
      <c r="M2995" s="3" t="str">
        <f>HYPERLINK("..\..\Imagery\ScannedPhotos\2004\CG04-027.1.jpg")</f>
        <v>..\..\Imagery\ScannedPhotos\2004\CG04-027.1.jpg</v>
      </c>
    </row>
    <row r="2996" spans="1:13" x14ac:dyDescent="0.25">
      <c r="A2996" t="s">
        <v>7333</v>
      </c>
      <c r="B2996">
        <v>485000</v>
      </c>
      <c r="C2996">
        <v>6033350</v>
      </c>
      <c r="D2996">
        <v>21</v>
      </c>
      <c r="E2996" t="s">
        <v>15</v>
      </c>
      <c r="F2996" t="s">
        <v>7334</v>
      </c>
      <c r="G2996">
        <v>3</v>
      </c>
      <c r="H2996" t="s">
        <v>1518</v>
      </c>
      <c r="I2996" t="s">
        <v>409</v>
      </c>
      <c r="J2996" t="s">
        <v>48</v>
      </c>
      <c r="K2996" t="s">
        <v>20</v>
      </c>
      <c r="L2996" t="s">
        <v>7335</v>
      </c>
      <c r="M2996" s="3" t="str">
        <f>HYPERLINK("..\..\Imagery\ScannedPhotos\1982\CG82-028.3.jpg")</f>
        <v>..\..\Imagery\ScannedPhotos\1982\CG82-028.3.jpg</v>
      </c>
    </row>
    <row r="2997" spans="1:13" x14ac:dyDescent="0.25">
      <c r="A2997" t="s">
        <v>963</v>
      </c>
      <c r="B2997">
        <v>471427</v>
      </c>
      <c r="C2997">
        <v>5912693</v>
      </c>
      <c r="D2997">
        <v>21</v>
      </c>
      <c r="E2997" t="s">
        <v>15</v>
      </c>
      <c r="F2997" t="s">
        <v>7336</v>
      </c>
      <c r="G2997">
        <v>5</v>
      </c>
      <c r="K2997" t="s">
        <v>56</v>
      </c>
      <c r="L2997" t="s">
        <v>965</v>
      </c>
      <c r="M2997" s="3" t="str">
        <f>HYPERLINK("..\..\Imagery\ScannedPhotos\2004\CG04-204.2.jpg")</f>
        <v>..\..\Imagery\ScannedPhotos\2004\CG04-204.2.jpg</v>
      </c>
    </row>
    <row r="2998" spans="1:13" x14ac:dyDescent="0.25">
      <c r="A2998" t="s">
        <v>963</v>
      </c>
      <c r="B2998">
        <v>471427</v>
      </c>
      <c r="C2998">
        <v>5912693</v>
      </c>
      <c r="D2998">
        <v>21</v>
      </c>
      <c r="E2998" t="s">
        <v>15</v>
      </c>
      <c r="F2998" t="s">
        <v>7337</v>
      </c>
      <c r="G2998">
        <v>5</v>
      </c>
      <c r="K2998" t="s">
        <v>56</v>
      </c>
      <c r="L2998" t="s">
        <v>7338</v>
      </c>
      <c r="M2998" s="3" t="str">
        <f>HYPERLINK("..\..\Imagery\ScannedPhotos\2004\CG04-204.3.jpg")</f>
        <v>..\..\Imagery\ScannedPhotos\2004\CG04-204.3.jpg</v>
      </c>
    </row>
    <row r="2999" spans="1:13" x14ac:dyDescent="0.25">
      <c r="A2999" t="s">
        <v>7339</v>
      </c>
      <c r="B2999">
        <v>494838</v>
      </c>
      <c r="C2999">
        <v>5948058</v>
      </c>
      <c r="D2999">
        <v>21</v>
      </c>
      <c r="E2999" t="s">
        <v>15</v>
      </c>
      <c r="F2999" t="s">
        <v>7340</v>
      </c>
      <c r="G2999">
        <v>1</v>
      </c>
      <c r="H2999" t="s">
        <v>443</v>
      </c>
      <c r="I2999" t="s">
        <v>85</v>
      </c>
      <c r="J2999" t="s">
        <v>48</v>
      </c>
      <c r="K2999" t="s">
        <v>20</v>
      </c>
      <c r="L2999" t="s">
        <v>7341</v>
      </c>
      <c r="M2999" s="3" t="str">
        <f>HYPERLINK("..\..\Imagery\ScannedPhotos\1981\CG81-039.jpg")</f>
        <v>..\..\Imagery\ScannedPhotos\1981\CG81-039.jpg</v>
      </c>
    </row>
    <row r="3000" spans="1:13" x14ac:dyDescent="0.25">
      <c r="A3000" t="s">
        <v>7342</v>
      </c>
      <c r="B3000">
        <v>472200</v>
      </c>
      <c r="C3000">
        <v>5858250</v>
      </c>
      <c r="D3000">
        <v>21</v>
      </c>
      <c r="E3000" t="s">
        <v>15</v>
      </c>
      <c r="F3000" t="s">
        <v>7343</v>
      </c>
      <c r="G3000">
        <v>2</v>
      </c>
      <c r="H3000" t="s">
        <v>2719</v>
      </c>
      <c r="I3000" t="s">
        <v>35</v>
      </c>
      <c r="J3000" t="s">
        <v>891</v>
      </c>
      <c r="K3000" t="s">
        <v>20</v>
      </c>
      <c r="L3000" t="s">
        <v>7344</v>
      </c>
      <c r="M3000" s="3" t="str">
        <f>HYPERLINK("..\..\Imagery\ScannedPhotos\1991\VN91-261.1.jpg")</f>
        <v>..\..\Imagery\ScannedPhotos\1991\VN91-261.1.jpg</v>
      </c>
    </row>
    <row r="3001" spans="1:13" x14ac:dyDescent="0.25">
      <c r="A3001" t="s">
        <v>7345</v>
      </c>
      <c r="B3001">
        <v>583842</v>
      </c>
      <c r="C3001">
        <v>5832514</v>
      </c>
      <c r="D3001">
        <v>21</v>
      </c>
      <c r="E3001" t="s">
        <v>15</v>
      </c>
      <c r="F3001" t="s">
        <v>7346</v>
      </c>
      <c r="G3001">
        <v>3</v>
      </c>
      <c r="H3001" t="s">
        <v>1750</v>
      </c>
      <c r="I3001" t="s">
        <v>409</v>
      </c>
      <c r="J3001" t="s">
        <v>1751</v>
      </c>
      <c r="K3001" t="s">
        <v>20</v>
      </c>
      <c r="L3001" t="s">
        <v>838</v>
      </c>
      <c r="M3001" s="3" t="str">
        <f>HYPERLINK("..\..\Imagery\ScannedPhotos\1986\JS86-460.3.jpg")</f>
        <v>..\..\Imagery\ScannedPhotos\1986\JS86-460.3.jpg</v>
      </c>
    </row>
    <row r="3002" spans="1:13" x14ac:dyDescent="0.25">
      <c r="A3002" t="s">
        <v>7345</v>
      </c>
      <c r="B3002">
        <v>583842</v>
      </c>
      <c r="C3002">
        <v>5832514</v>
      </c>
      <c r="D3002">
        <v>21</v>
      </c>
      <c r="E3002" t="s">
        <v>15</v>
      </c>
      <c r="F3002" t="s">
        <v>7347</v>
      </c>
      <c r="G3002">
        <v>3</v>
      </c>
      <c r="H3002" t="s">
        <v>1750</v>
      </c>
      <c r="I3002" t="s">
        <v>401</v>
      </c>
      <c r="J3002" t="s">
        <v>1751</v>
      </c>
      <c r="K3002" t="s">
        <v>56</v>
      </c>
      <c r="L3002" t="s">
        <v>838</v>
      </c>
      <c r="M3002" s="3" t="str">
        <f>HYPERLINK("..\..\Imagery\ScannedPhotos\1986\JS86-460.2.jpg")</f>
        <v>..\..\Imagery\ScannedPhotos\1986\JS86-460.2.jpg</v>
      </c>
    </row>
    <row r="3003" spans="1:13" x14ac:dyDescent="0.25">
      <c r="A3003" t="s">
        <v>7348</v>
      </c>
      <c r="B3003">
        <v>587424</v>
      </c>
      <c r="C3003">
        <v>5824563</v>
      </c>
      <c r="D3003">
        <v>21</v>
      </c>
      <c r="E3003" t="s">
        <v>15</v>
      </c>
      <c r="F3003" t="s">
        <v>7349</v>
      </c>
      <c r="G3003">
        <v>1</v>
      </c>
      <c r="H3003" t="s">
        <v>7350</v>
      </c>
      <c r="I3003" t="s">
        <v>69</v>
      </c>
      <c r="J3003" t="s">
        <v>7351</v>
      </c>
      <c r="K3003" t="s">
        <v>20</v>
      </c>
      <c r="L3003" t="s">
        <v>7352</v>
      </c>
      <c r="M3003" s="3" t="str">
        <f>HYPERLINK("..\..\Imagery\ScannedPhotos\1986\JS86-474.jpg")</f>
        <v>..\..\Imagery\ScannedPhotos\1986\JS86-474.jpg</v>
      </c>
    </row>
    <row r="3004" spans="1:13" x14ac:dyDescent="0.25">
      <c r="A3004" t="s">
        <v>7353</v>
      </c>
      <c r="B3004">
        <v>586622</v>
      </c>
      <c r="C3004">
        <v>5824261</v>
      </c>
      <c r="D3004">
        <v>21</v>
      </c>
      <c r="E3004" t="s">
        <v>15</v>
      </c>
      <c r="F3004" t="s">
        <v>7354</v>
      </c>
      <c r="G3004">
        <v>1</v>
      </c>
      <c r="H3004" t="s">
        <v>7350</v>
      </c>
      <c r="I3004" t="s">
        <v>41</v>
      </c>
      <c r="J3004" t="s">
        <v>7351</v>
      </c>
      <c r="K3004" t="s">
        <v>20</v>
      </c>
      <c r="L3004" t="s">
        <v>7355</v>
      </c>
      <c r="M3004" s="3" t="str">
        <f>HYPERLINK("..\..\Imagery\ScannedPhotos\1986\JS86-476.jpg")</f>
        <v>..\..\Imagery\ScannedPhotos\1986\JS86-476.jpg</v>
      </c>
    </row>
    <row r="3005" spans="1:13" x14ac:dyDescent="0.25">
      <c r="A3005" t="s">
        <v>7356</v>
      </c>
      <c r="B3005">
        <v>569173</v>
      </c>
      <c r="C3005">
        <v>5817521</v>
      </c>
      <c r="D3005">
        <v>21</v>
      </c>
      <c r="E3005" t="s">
        <v>15</v>
      </c>
      <c r="F3005" t="s">
        <v>7357</v>
      </c>
      <c r="G3005">
        <v>1</v>
      </c>
      <c r="H3005" t="s">
        <v>7350</v>
      </c>
      <c r="I3005" t="s">
        <v>375</v>
      </c>
      <c r="J3005" t="s">
        <v>7351</v>
      </c>
      <c r="K3005" t="s">
        <v>20</v>
      </c>
      <c r="L3005" t="s">
        <v>7358</v>
      </c>
      <c r="M3005" s="3" t="str">
        <f>HYPERLINK("..\..\Imagery\ScannedPhotos\1986\JS86-486.jpg")</f>
        <v>..\..\Imagery\ScannedPhotos\1986\JS86-486.jpg</v>
      </c>
    </row>
    <row r="3006" spans="1:13" x14ac:dyDescent="0.25">
      <c r="A3006" t="s">
        <v>7359</v>
      </c>
      <c r="B3006">
        <v>574567</v>
      </c>
      <c r="C3006">
        <v>5820420</v>
      </c>
      <c r="D3006">
        <v>21</v>
      </c>
      <c r="E3006" t="s">
        <v>15</v>
      </c>
      <c r="F3006" t="s">
        <v>7360</v>
      </c>
      <c r="G3006">
        <v>1</v>
      </c>
      <c r="H3006" t="s">
        <v>7350</v>
      </c>
      <c r="I3006" t="s">
        <v>209</v>
      </c>
      <c r="J3006" t="s">
        <v>7351</v>
      </c>
      <c r="K3006" t="s">
        <v>20</v>
      </c>
      <c r="L3006" t="s">
        <v>7361</v>
      </c>
      <c r="M3006" s="3" t="str">
        <f>HYPERLINK("..\..\Imagery\ScannedPhotos\1986\JS86-496.jpg")</f>
        <v>..\..\Imagery\ScannedPhotos\1986\JS86-496.jpg</v>
      </c>
    </row>
    <row r="3007" spans="1:13" x14ac:dyDescent="0.25">
      <c r="A3007" t="s">
        <v>6167</v>
      </c>
      <c r="B3007">
        <v>335193</v>
      </c>
      <c r="C3007">
        <v>5859151</v>
      </c>
      <c r="D3007">
        <v>21</v>
      </c>
      <c r="E3007" t="s">
        <v>15</v>
      </c>
      <c r="F3007" t="s">
        <v>7362</v>
      </c>
      <c r="G3007">
        <v>5</v>
      </c>
      <c r="H3007" t="s">
        <v>7363</v>
      </c>
      <c r="I3007" t="s">
        <v>69</v>
      </c>
      <c r="J3007" t="s">
        <v>7364</v>
      </c>
      <c r="K3007" t="s">
        <v>228</v>
      </c>
      <c r="L3007" t="s">
        <v>6169</v>
      </c>
      <c r="M3007" s="3" t="str">
        <f>HYPERLINK("..\..\Imagery\ScannedPhotos\1998\CG98-098.5.jpg")</f>
        <v>..\..\Imagery\ScannedPhotos\1998\CG98-098.5.jpg</v>
      </c>
    </row>
    <row r="3008" spans="1:13" x14ac:dyDescent="0.25">
      <c r="A3008" t="s">
        <v>7365</v>
      </c>
      <c r="B3008">
        <v>496843</v>
      </c>
      <c r="C3008">
        <v>5950237</v>
      </c>
      <c r="D3008">
        <v>21</v>
      </c>
      <c r="E3008" t="s">
        <v>15</v>
      </c>
      <c r="F3008" t="s">
        <v>7366</v>
      </c>
      <c r="G3008">
        <v>3</v>
      </c>
      <c r="H3008" t="s">
        <v>113</v>
      </c>
      <c r="I3008" t="s">
        <v>304</v>
      </c>
      <c r="J3008" t="s">
        <v>115</v>
      </c>
      <c r="K3008" t="s">
        <v>56</v>
      </c>
      <c r="L3008" t="s">
        <v>7367</v>
      </c>
      <c r="M3008" s="3" t="str">
        <f>HYPERLINK("..\..\Imagery\ScannedPhotos\1977\MC77-055.3.jpg")</f>
        <v>..\..\Imagery\ScannedPhotos\1977\MC77-055.3.jpg</v>
      </c>
    </row>
    <row r="3009" spans="1:13" x14ac:dyDescent="0.25">
      <c r="A3009" t="s">
        <v>7368</v>
      </c>
      <c r="B3009">
        <v>497020</v>
      </c>
      <c r="C3009">
        <v>5950442</v>
      </c>
      <c r="D3009">
        <v>21</v>
      </c>
      <c r="E3009" t="s">
        <v>15</v>
      </c>
      <c r="F3009" t="s">
        <v>7369</v>
      </c>
      <c r="G3009">
        <v>3</v>
      </c>
      <c r="H3009" t="s">
        <v>113</v>
      </c>
      <c r="I3009" t="s">
        <v>25</v>
      </c>
      <c r="J3009" t="s">
        <v>115</v>
      </c>
      <c r="K3009" t="s">
        <v>20</v>
      </c>
      <c r="L3009" t="s">
        <v>7370</v>
      </c>
      <c r="M3009" s="3" t="str">
        <f>HYPERLINK("..\..\Imagery\ScannedPhotos\1977\MC77-056.2.jpg")</f>
        <v>..\..\Imagery\ScannedPhotos\1977\MC77-056.2.jpg</v>
      </c>
    </row>
    <row r="3010" spans="1:13" x14ac:dyDescent="0.25">
      <c r="A3010" t="s">
        <v>7368</v>
      </c>
      <c r="B3010">
        <v>497020</v>
      </c>
      <c r="C3010">
        <v>5950442</v>
      </c>
      <c r="D3010">
        <v>21</v>
      </c>
      <c r="E3010" t="s">
        <v>15</v>
      </c>
      <c r="F3010" t="s">
        <v>7371</v>
      </c>
      <c r="G3010">
        <v>3</v>
      </c>
      <c r="H3010" t="s">
        <v>113</v>
      </c>
      <c r="I3010" t="s">
        <v>195</v>
      </c>
      <c r="J3010" t="s">
        <v>115</v>
      </c>
      <c r="K3010" t="s">
        <v>20</v>
      </c>
      <c r="L3010" t="s">
        <v>7370</v>
      </c>
      <c r="M3010" s="3" t="str">
        <f>HYPERLINK("..\..\Imagery\ScannedPhotos\1977\MC77-056.1.jpg")</f>
        <v>..\..\Imagery\ScannedPhotos\1977\MC77-056.1.jpg</v>
      </c>
    </row>
    <row r="3011" spans="1:13" x14ac:dyDescent="0.25">
      <c r="A3011" t="s">
        <v>7368</v>
      </c>
      <c r="B3011">
        <v>497020</v>
      </c>
      <c r="C3011">
        <v>5950442</v>
      </c>
      <c r="D3011">
        <v>21</v>
      </c>
      <c r="E3011" t="s">
        <v>15</v>
      </c>
      <c r="F3011" t="s">
        <v>7372</v>
      </c>
      <c r="G3011">
        <v>3</v>
      </c>
      <c r="H3011" t="s">
        <v>113</v>
      </c>
      <c r="I3011" t="s">
        <v>360</v>
      </c>
      <c r="J3011" t="s">
        <v>115</v>
      </c>
      <c r="K3011" t="s">
        <v>20</v>
      </c>
      <c r="L3011" t="s">
        <v>7373</v>
      </c>
      <c r="M3011" s="3" t="str">
        <f>HYPERLINK("..\..\Imagery\ScannedPhotos\1977\MC77-056.3.jpg")</f>
        <v>..\..\Imagery\ScannedPhotos\1977\MC77-056.3.jpg</v>
      </c>
    </row>
    <row r="3012" spans="1:13" x14ac:dyDescent="0.25">
      <c r="A3012" t="s">
        <v>4554</v>
      </c>
      <c r="B3012">
        <v>435648</v>
      </c>
      <c r="C3012">
        <v>5899908</v>
      </c>
      <c r="D3012">
        <v>21</v>
      </c>
      <c r="E3012" t="s">
        <v>15</v>
      </c>
      <c r="F3012" t="s">
        <v>7374</v>
      </c>
      <c r="G3012">
        <v>10</v>
      </c>
      <c r="H3012" t="s">
        <v>2895</v>
      </c>
      <c r="I3012" t="s">
        <v>47</v>
      </c>
      <c r="J3012" t="s">
        <v>2896</v>
      </c>
      <c r="K3012" t="s">
        <v>20</v>
      </c>
      <c r="L3012" t="s">
        <v>7375</v>
      </c>
      <c r="M3012" s="3" t="str">
        <f>HYPERLINK("..\..\Imagery\ScannedPhotos\1984\CG84-435.2.jpg")</f>
        <v>..\..\Imagery\ScannedPhotos\1984\CG84-435.2.jpg</v>
      </c>
    </row>
    <row r="3013" spans="1:13" x14ac:dyDescent="0.25">
      <c r="A3013" t="s">
        <v>4554</v>
      </c>
      <c r="B3013">
        <v>435648</v>
      </c>
      <c r="C3013">
        <v>5899908</v>
      </c>
      <c r="D3013">
        <v>21</v>
      </c>
      <c r="E3013" t="s">
        <v>15</v>
      </c>
      <c r="F3013" t="s">
        <v>7376</v>
      </c>
      <c r="G3013">
        <v>10</v>
      </c>
      <c r="H3013" t="s">
        <v>3982</v>
      </c>
      <c r="I3013" t="s">
        <v>294</v>
      </c>
      <c r="J3013" t="s">
        <v>2247</v>
      </c>
      <c r="K3013" t="s">
        <v>20</v>
      </c>
      <c r="L3013" t="s">
        <v>4556</v>
      </c>
      <c r="M3013" s="3" t="str">
        <f>HYPERLINK("..\..\Imagery\ScannedPhotos\1984\CG84-435.5.jpg")</f>
        <v>..\..\Imagery\ScannedPhotos\1984\CG84-435.5.jpg</v>
      </c>
    </row>
    <row r="3014" spans="1:13" x14ac:dyDescent="0.25">
      <c r="A3014" t="s">
        <v>4554</v>
      </c>
      <c r="B3014">
        <v>435648</v>
      </c>
      <c r="C3014">
        <v>5899908</v>
      </c>
      <c r="D3014">
        <v>21</v>
      </c>
      <c r="E3014" t="s">
        <v>15</v>
      </c>
      <c r="F3014" t="s">
        <v>7377</v>
      </c>
      <c r="G3014">
        <v>10</v>
      </c>
      <c r="H3014" t="s">
        <v>3982</v>
      </c>
      <c r="I3014" t="s">
        <v>18</v>
      </c>
      <c r="J3014" t="s">
        <v>2247</v>
      </c>
      <c r="K3014" t="s">
        <v>56</v>
      </c>
      <c r="L3014" t="s">
        <v>4556</v>
      </c>
      <c r="M3014" s="3" t="str">
        <f>HYPERLINK("..\..\Imagery\ScannedPhotos\1984\CG84-435.9.jpg")</f>
        <v>..\..\Imagery\ScannedPhotos\1984\CG84-435.9.jpg</v>
      </c>
    </row>
    <row r="3015" spans="1:13" x14ac:dyDescent="0.25">
      <c r="A3015" t="s">
        <v>7378</v>
      </c>
      <c r="B3015">
        <v>407203</v>
      </c>
      <c r="C3015">
        <v>5996618</v>
      </c>
      <c r="D3015">
        <v>21</v>
      </c>
      <c r="E3015" t="s">
        <v>15</v>
      </c>
      <c r="F3015" t="s">
        <v>7379</v>
      </c>
      <c r="G3015">
        <v>1</v>
      </c>
      <c r="H3015" t="s">
        <v>1156</v>
      </c>
      <c r="I3015" t="s">
        <v>360</v>
      </c>
      <c r="J3015" t="s">
        <v>95</v>
      </c>
      <c r="K3015" t="s">
        <v>20</v>
      </c>
      <c r="L3015" t="s">
        <v>7380</v>
      </c>
      <c r="M3015" s="3" t="str">
        <f>HYPERLINK("..\..\Imagery\ScannedPhotos\1980\CG80-138.jpg")</f>
        <v>..\..\Imagery\ScannedPhotos\1980\CG80-138.jpg</v>
      </c>
    </row>
    <row r="3016" spans="1:13" x14ac:dyDescent="0.25">
      <c r="A3016" t="s">
        <v>7381</v>
      </c>
      <c r="B3016">
        <v>461388</v>
      </c>
      <c r="C3016">
        <v>6029076</v>
      </c>
      <c r="D3016">
        <v>21</v>
      </c>
      <c r="E3016" t="s">
        <v>15</v>
      </c>
      <c r="F3016" t="s">
        <v>7382</v>
      </c>
      <c r="G3016">
        <v>3</v>
      </c>
      <c r="H3016" t="s">
        <v>5502</v>
      </c>
      <c r="I3016" t="s">
        <v>129</v>
      </c>
      <c r="J3016" t="s">
        <v>691</v>
      </c>
      <c r="K3016" t="s">
        <v>109</v>
      </c>
      <c r="L3016" t="s">
        <v>7383</v>
      </c>
      <c r="M3016" s="3" t="str">
        <f>HYPERLINK("..\..\Imagery\ScannedPhotos\1979\CG79-774.3.jpg")</f>
        <v>..\..\Imagery\ScannedPhotos\1979\CG79-774.3.jpg</v>
      </c>
    </row>
    <row r="3017" spans="1:13" x14ac:dyDescent="0.25">
      <c r="A3017" t="s">
        <v>7381</v>
      </c>
      <c r="B3017">
        <v>461388</v>
      </c>
      <c r="C3017">
        <v>6029076</v>
      </c>
      <c r="D3017">
        <v>21</v>
      </c>
      <c r="E3017" t="s">
        <v>15</v>
      </c>
      <c r="F3017" t="s">
        <v>7384</v>
      </c>
      <c r="G3017">
        <v>3</v>
      </c>
      <c r="H3017" t="s">
        <v>5502</v>
      </c>
      <c r="I3017" t="s">
        <v>132</v>
      </c>
      <c r="J3017" t="s">
        <v>691</v>
      </c>
      <c r="K3017" t="s">
        <v>228</v>
      </c>
      <c r="L3017" t="s">
        <v>7385</v>
      </c>
      <c r="M3017" s="3" t="str">
        <f>HYPERLINK("..\..\Imagery\ScannedPhotos\1979\CG79-774.1.jpg")</f>
        <v>..\..\Imagery\ScannedPhotos\1979\CG79-774.1.jpg</v>
      </c>
    </row>
    <row r="3018" spans="1:13" x14ac:dyDescent="0.25">
      <c r="A3018" t="s">
        <v>7381</v>
      </c>
      <c r="B3018">
        <v>461388</v>
      </c>
      <c r="C3018">
        <v>6029076</v>
      </c>
      <c r="D3018">
        <v>21</v>
      </c>
      <c r="E3018" t="s">
        <v>15</v>
      </c>
      <c r="F3018" t="s">
        <v>7386</v>
      </c>
      <c r="G3018">
        <v>3</v>
      </c>
      <c r="H3018" t="s">
        <v>5502</v>
      </c>
      <c r="I3018" t="s">
        <v>52</v>
      </c>
      <c r="J3018" t="s">
        <v>691</v>
      </c>
      <c r="K3018" t="s">
        <v>20</v>
      </c>
      <c r="L3018" t="s">
        <v>7387</v>
      </c>
      <c r="M3018" s="3" t="str">
        <f>HYPERLINK("..\..\Imagery\ScannedPhotos\1979\CG79-774.2.jpg")</f>
        <v>..\..\Imagery\ScannedPhotos\1979\CG79-774.2.jpg</v>
      </c>
    </row>
    <row r="3019" spans="1:13" x14ac:dyDescent="0.25">
      <c r="A3019" t="s">
        <v>7388</v>
      </c>
      <c r="B3019">
        <v>461190</v>
      </c>
      <c r="C3019">
        <v>6028959</v>
      </c>
      <c r="D3019">
        <v>21</v>
      </c>
      <c r="E3019" t="s">
        <v>15</v>
      </c>
      <c r="F3019" t="s">
        <v>7389</v>
      </c>
      <c r="G3019">
        <v>1</v>
      </c>
      <c r="H3019" t="s">
        <v>5502</v>
      </c>
      <c r="I3019" t="s">
        <v>65</v>
      </c>
      <c r="J3019" t="s">
        <v>691</v>
      </c>
      <c r="K3019" t="s">
        <v>20</v>
      </c>
      <c r="L3019" t="s">
        <v>7390</v>
      </c>
      <c r="M3019" s="3" t="str">
        <f>HYPERLINK("..\..\Imagery\ScannedPhotos\1979\CG79-775.jpg")</f>
        <v>..\..\Imagery\ScannedPhotos\1979\CG79-775.jpg</v>
      </c>
    </row>
    <row r="3020" spans="1:13" x14ac:dyDescent="0.25">
      <c r="A3020" t="s">
        <v>7391</v>
      </c>
      <c r="B3020">
        <v>460909</v>
      </c>
      <c r="C3020">
        <v>6028671</v>
      </c>
      <c r="D3020">
        <v>21</v>
      </c>
      <c r="E3020" t="s">
        <v>15</v>
      </c>
      <c r="F3020" t="s">
        <v>7392</v>
      </c>
      <c r="G3020">
        <v>1</v>
      </c>
      <c r="H3020" t="s">
        <v>5502</v>
      </c>
      <c r="I3020" t="s">
        <v>401</v>
      </c>
      <c r="J3020" t="s">
        <v>691</v>
      </c>
      <c r="K3020" t="s">
        <v>20</v>
      </c>
      <c r="L3020" t="s">
        <v>7393</v>
      </c>
      <c r="M3020" s="3" t="str">
        <f>HYPERLINK("..\..\Imagery\ScannedPhotos\1979\CG79-776.jpg")</f>
        <v>..\..\Imagery\ScannedPhotos\1979\CG79-776.jpg</v>
      </c>
    </row>
    <row r="3021" spans="1:13" x14ac:dyDescent="0.25">
      <c r="A3021" t="s">
        <v>7394</v>
      </c>
      <c r="B3021">
        <v>460754</v>
      </c>
      <c r="C3021">
        <v>6028216</v>
      </c>
      <c r="D3021">
        <v>21</v>
      </c>
      <c r="E3021" t="s">
        <v>15</v>
      </c>
      <c r="F3021" t="s">
        <v>7395</v>
      </c>
      <c r="G3021">
        <v>1</v>
      </c>
      <c r="H3021" t="s">
        <v>5502</v>
      </c>
      <c r="I3021" t="s">
        <v>409</v>
      </c>
      <c r="J3021" t="s">
        <v>691</v>
      </c>
      <c r="K3021" t="s">
        <v>20</v>
      </c>
      <c r="L3021" t="s">
        <v>7396</v>
      </c>
      <c r="M3021" s="3" t="str">
        <f>HYPERLINK("..\..\Imagery\ScannedPhotos\1979\CG79-777.jpg")</f>
        <v>..\..\Imagery\ScannedPhotos\1979\CG79-777.jpg</v>
      </c>
    </row>
    <row r="3022" spans="1:13" x14ac:dyDescent="0.25">
      <c r="A3022" t="s">
        <v>7397</v>
      </c>
      <c r="B3022">
        <v>460632</v>
      </c>
      <c r="C3022">
        <v>6027799</v>
      </c>
      <c r="D3022">
        <v>21</v>
      </c>
      <c r="E3022" t="s">
        <v>15</v>
      </c>
      <c r="F3022" t="s">
        <v>7398</v>
      </c>
      <c r="G3022">
        <v>1</v>
      </c>
      <c r="H3022" t="s">
        <v>1862</v>
      </c>
      <c r="I3022" t="s">
        <v>79</v>
      </c>
      <c r="J3022" t="s">
        <v>1863</v>
      </c>
      <c r="K3022" t="s">
        <v>56</v>
      </c>
      <c r="L3022" t="s">
        <v>7399</v>
      </c>
      <c r="M3022" s="3" t="str">
        <f>HYPERLINK("..\..\Imagery\ScannedPhotos\1979\CG79-778.jpg")</f>
        <v>..\..\Imagery\ScannedPhotos\1979\CG79-778.jpg</v>
      </c>
    </row>
    <row r="3023" spans="1:13" x14ac:dyDescent="0.25">
      <c r="A3023" t="s">
        <v>7400</v>
      </c>
      <c r="B3023">
        <v>460180</v>
      </c>
      <c r="C3023">
        <v>6027231</v>
      </c>
      <c r="D3023">
        <v>21</v>
      </c>
      <c r="E3023" t="s">
        <v>15</v>
      </c>
      <c r="F3023" t="s">
        <v>7401</v>
      </c>
      <c r="G3023">
        <v>1</v>
      </c>
      <c r="H3023" t="s">
        <v>1862</v>
      </c>
      <c r="I3023" t="s">
        <v>281</v>
      </c>
      <c r="J3023" t="s">
        <v>1863</v>
      </c>
      <c r="K3023" t="s">
        <v>20</v>
      </c>
      <c r="L3023" t="s">
        <v>7402</v>
      </c>
      <c r="M3023" s="3" t="str">
        <f>HYPERLINK("..\..\Imagery\ScannedPhotos\1979\CG79-780.jpg")</f>
        <v>..\..\Imagery\ScannedPhotos\1979\CG79-780.jpg</v>
      </c>
    </row>
    <row r="3024" spans="1:13" x14ac:dyDescent="0.25">
      <c r="A3024" t="s">
        <v>7403</v>
      </c>
      <c r="B3024">
        <v>586168</v>
      </c>
      <c r="C3024">
        <v>5897856</v>
      </c>
      <c r="D3024">
        <v>21</v>
      </c>
      <c r="E3024" t="s">
        <v>15</v>
      </c>
      <c r="F3024" t="s">
        <v>7404</v>
      </c>
      <c r="G3024">
        <v>3</v>
      </c>
      <c r="H3024" t="s">
        <v>1994</v>
      </c>
      <c r="I3024" t="s">
        <v>79</v>
      </c>
      <c r="J3024" t="s">
        <v>138</v>
      </c>
      <c r="K3024" t="s">
        <v>56</v>
      </c>
      <c r="L3024" t="s">
        <v>7405</v>
      </c>
      <c r="M3024" s="3" t="str">
        <f>HYPERLINK("..\..\Imagery\ScannedPhotos\1985\GM85-582.1.jpg")</f>
        <v>..\..\Imagery\ScannedPhotos\1985\GM85-582.1.jpg</v>
      </c>
    </row>
    <row r="3025" spans="1:13" x14ac:dyDescent="0.25">
      <c r="A3025" t="s">
        <v>7403</v>
      </c>
      <c r="B3025">
        <v>586168</v>
      </c>
      <c r="C3025">
        <v>5897856</v>
      </c>
      <c r="D3025">
        <v>21</v>
      </c>
      <c r="E3025" t="s">
        <v>15</v>
      </c>
      <c r="F3025" t="s">
        <v>7406</v>
      </c>
      <c r="G3025">
        <v>3</v>
      </c>
      <c r="H3025" t="s">
        <v>1994</v>
      </c>
      <c r="I3025" t="s">
        <v>281</v>
      </c>
      <c r="J3025" t="s">
        <v>138</v>
      </c>
      <c r="K3025" t="s">
        <v>56</v>
      </c>
      <c r="L3025" t="s">
        <v>7405</v>
      </c>
      <c r="M3025" s="3" t="str">
        <f>HYPERLINK("..\..\Imagery\ScannedPhotos\1985\GM85-582.2.jpg")</f>
        <v>..\..\Imagery\ScannedPhotos\1985\GM85-582.2.jpg</v>
      </c>
    </row>
    <row r="3026" spans="1:13" x14ac:dyDescent="0.25">
      <c r="A3026" t="s">
        <v>7407</v>
      </c>
      <c r="B3026">
        <v>382854</v>
      </c>
      <c r="C3026">
        <v>6103816</v>
      </c>
      <c r="D3026">
        <v>21</v>
      </c>
      <c r="E3026" t="s">
        <v>15</v>
      </c>
      <c r="F3026" t="s">
        <v>7408</v>
      </c>
      <c r="G3026">
        <v>2</v>
      </c>
      <c r="H3026" t="s">
        <v>208</v>
      </c>
      <c r="I3026" t="s">
        <v>25</v>
      </c>
      <c r="J3026" t="s">
        <v>210</v>
      </c>
      <c r="K3026" t="s">
        <v>20</v>
      </c>
      <c r="L3026" t="s">
        <v>7409</v>
      </c>
      <c r="M3026" s="3" t="str">
        <f>HYPERLINK("..\..\Imagery\ScannedPhotos\1979\AD79-091.2.jpg")</f>
        <v>..\..\Imagery\ScannedPhotos\1979\AD79-091.2.jpg</v>
      </c>
    </row>
    <row r="3027" spans="1:13" x14ac:dyDescent="0.25">
      <c r="A3027" t="s">
        <v>756</v>
      </c>
      <c r="B3027">
        <v>411385</v>
      </c>
      <c r="C3027">
        <v>5997364</v>
      </c>
      <c r="D3027">
        <v>21</v>
      </c>
      <c r="E3027" t="s">
        <v>15</v>
      </c>
      <c r="F3027" t="s">
        <v>7410</v>
      </c>
      <c r="G3027">
        <v>4</v>
      </c>
      <c r="H3027" t="s">
        <v>758</v>
      </c>
      <c r="I3027" t="s">
        <v>217</v>
      </c>
      <c r="J3027" t="s">
        <v>759</v>
      </c>
      <c r="K3027" t="s">
        <v>20</v>
      </c>
      <c r="L3027" t="s">
        <v>760</v>
      </c>
      <c r="M3027" s="3" t="str">
        <f>HYPERLINK("..\..\Imagery\ScannedPhotos\1980\RG80-061.1.jpg")</f>
        <v>..\..\Imagery\ScannedPhotos\1980\RG80-061.1.jpg</v>
      </c>
    </row>
    <row r="3028" spans="1:13" x14ac:dyDescent="0.25">
      <c r="A3028" t="s">
        <v>7411</v>
      </c>
      <c r="B3028">
        <v>579121</v>
      </c>
      <c r="C3028">
        <v>5918522</v>
      </c>
      <c r="D3028">
        <v>21</v>
      </c>
      <c r="E3028" t="s">
        <v>15</v>
      </c>
      <c r="F3028" t="s">
        <v>7412</v>
      </c>
      <c r="G3028">
        <v>3</v>
      </c>
      <c r="H3028" t="s">
        <v>2855</v>
      </c>
      <c r="I3028" t="s">
        <v>304</v>
      </c>
      <c r="J3028" t="s">
        <v>1583</v>
      </c>
      <c r="K3028" t="s">
        <v>20</v>
      </c>
      <c r="L3028" t="s">
        <v>7413</v>
      </c>
      <c r="M3028" s="3" t="str">
        <f>HYPERLINK("..\..\Imagery\ScannedPhotos\1985\CG85-597.1.jpg")</f>
        <v>..\..\Imagery\ScannedPhotos\1985\CG85-597.1.jpg</v>
      </c>
    </row>
    <row r="3029" spans="1:13" x14ac:dyDescent="0.25">
      <c r="A3029" t="s">
        <v>7414</v>
      </c>
      <c r="B3029">
        <v>578735</v>
      </c>
      <c r="C3029">
        <v>5918720</v>
      </c>
      <c r="D3029">
        <v>21</v>
      </c>
      <c r="E3029" t="s">
        <v>15</v>
      </c>
      <c r="F3029" t="s">
        <v>7415</v>
      </c>
      <c r="G3029">
        <v>2</v>
      </c>
      <c r="H3029" t="s">
        <v>2855</v>
      </c>
      <c r="I3029" t="s">
        <v>647</v>
      </c>
      <c r="J3029" t="s">
        <v>1583</v>
      </c>
      <c r="K3029" t="s">
        <v>20</v>
      </c>
      <c r="L3029" t="s">
        <v>7416</v>
      </c>
      <c r="M3029" s="3" t="str">
        <f>HYPERLINK("..\..\Imagery\ScannedPhotos\1985\CG85-598.2.jpg")</f>
        <v>..\..\Imagery\ScannedPhotos\1985\CG85-598.2.jpg</v>
      </c>
    </row>
    <row r="3030" spans="1:13" x14ac:dyDescent="0.25">
      <c r="A3030" t="s">
        <v>7417</v>
      </c>
      <c r="B3030">
        <v>344843</v>
      </c>
      <c r="C3030">
        <v>5852094</v>
      </c>
      <c r="D3030">
        <v>21</v>
      </c>
      <c r="E3030" t="s">
        <v>15</v>
      </c>
      <c r="F3030" t="s">
        <v>7418</v>
      </c>
      <c r="G3030">
        <v>6</v>
      </c>
      <c r="H3030" t="s">
        <v>5833</v>
      </c>
      <c r="I3030" t="s">
        <v>222</v>
      </c>
      <c r="J3030" t="s">
        <v>260</v>
      </c>
      <c r="K3030" t="s">
        <v>56</v>
      </c>
      <c r="L3030" t="s">
        <v>7419</v>
      </c>
      <c r="M3030" s="3" t="str">
        <f>HYPERLINK("..\..\Imagery\ScannedPhotos\1998\CG98-218.4.jpg")</f>
        <v>..\..\Imagery\ScannedPhotos\1998\CG98-218.4.jpg</v>
      </c>
    </row>
    <row r="3031" spans="1:13" x14ac:dyDescent="0.25">
      <c r="A3031" t="s">
        <v>7420</v>
      </c>
      <c r="B3031">
        <v>582986</v>
      </c>
      <c r="C3031">
        <v>5900168</v>
      </c>
      <c r="D3031">
        <v>21</v>
      </c>
      <c r="E3031" t="s">
        <v>15</v>
      </c>
      <c r="F3031" t="s">
        <v>7421</v>
      </c>
      <c r="G3031">
        <v>1</v>
      </c>
      <c r="H3031" t="s">
        <v>1373</v>
      </c>
      <c r="I3031" t="s">
        <v>85</v>
      </c>
      <c r="J3031" t="s">
        <v>1374</v>
      </c>
      <c r="K3031" t="s">
        <v>20</v>
      </c>
      <c r="L3031" t="s">
        <v>7422</v>
      </c>
      <c r="M3031" s="3" t="str">
        <f>HYPERLINK("..\..\Imagery\ScannedPhotos\1985\CG85-507.jpg")</f>
        <v>..\..\Imagery\ScannedPhotos\1985\CG85-507.jpg</v>
      </c>
    </row>
    <row r="3032" spans="1:13" x14ac:dyDescent="0.25">
      <c r="A3032" t="s">
        <v>7423</v>
      </c>
      <c r="B3032">
        <v>581276</v>
      </c>
      <c r="C3032">
        <v>5902832</v>
      </c>
      <c r="D3032">
        <v>21</v>
      </c>
      <c r="E3032" t="s">
        <v>15</v>
      </c>
      <c r="F3032" t="s">
        <v>7424</v>
      </c>
      <c r="G3032">
        <v>2</v>
      </c>
      <c r="H3032" t="s">
        <v>1373</v>
      </c>
      <c r="I3032" t="s">
        <v>375</v>
      </c>
      <c r="J3032" t="s">
        <v>1374</v>
      </c>
      <c r="K3032" t="s">
        <v>20</v>
      </c>
      <c r="L3032" t="s">
        <v>7425</v>
      </c>
      <c r="M3032" s="3" t="str">
        <f>HYPERLINK("..\..\Imagery\ScannedPhotos\1985\CG85-519.1.jpg")</f>
        <v>..\..\Imagery\ScannedPhotos\1985\CG85-519.1.jpg</v>
      </c>
    </row>
    <row r="3033" spans="1:13" x14ac:dyDescent="0.25">
      <c r="A3033" t="s">
        <v>7423</v>
      </c>
      <c r="B3033">
        <v>581276</v>
      </c>
      <c r="C3033">
        <v>5902832</v>
      </c>
      <c r="D3033">
        <v>21</v>
      </c>
      <c r="E3033" t="s">
        <v>15</v>
      </c>
      <c r="F3033" t="s">
        <v>7426</v>
      </c>
      <c r="G3033">
        <v>2</v>
      </c>
      <c r="H3033" t="s">
        <v>1373</v>
      </c>
      <c r="I3033" t="s">
        <v>94</v>
      </c>
      <c r="J3033" t="s">
        <v>1374</v>
      </c>
      <c r="K3033" t="s">
        <v>20</v>
      </c>
      <c r="L3033" t="s">
        <v>7427</v>
      </c>
      <c r="M3033" s="3" t="str">
        <f>HYPERLINK("..\..\Imagery\ScannedPhotos\1985\CG85-519.2.jpg")</f>
        <v>..\..\Imagery\ScannedPhotos\1985\CG85-519.2.jpg</v>
      </c>
    </row>
    <row r="3034" spans="1:13" x14ac:dyDescent="0.25">
      <c r="A3034" t="s">
        <v>5952</v>
      </c>
      <c r="B3034">
        <v>451818</v>
      </c>
      <c r="C3034">
        <v>5773754</v>
      </c>
      <c r="D3034">
        <v>21</v>
      </c>
      <c r="E3034" t="s">
        <v>15</v>
      </c>
      <c r="F3034" t="s">
        <v>7428</v>
      </c>
      <c r="G3034">
        <v>5</v>
      </c>
      <c r="H3034" t="s">
        <v>1163</v>
      </c>
      <c r="I3034" t="s">
        <v>143</v>
      </c>
      <c r="J3034" t="s">
        <v>814</v>
      </c>
      <c r="K3034" t="s">
        <v>20</v>
      </c>
      <c r="L3034" t="s">
        <v>5954</v>
      </c>
      <c r="M3034" s="3" t="str">
        <f>HYPERLINK("..\..\Imagery\ScannedPhotos\1992\VN92-158.1.jpg")</f>
        <v>..\..\Imagery\ScannedPhotos\1992\VN92-158.1.jpg</v>
      </c>
    </row>
    <row r="3035" spans="1:13" x14ac:dyDescent="0.25">
      <c r="A3035" t="s">
        <v>7429</v>
      </c>
      <c r="B3035">
        <v>451170</v>
      </c>
      <c r="C3035">
        <v>5773107</v>
      </c>
      <c r="D3035">
        <v>21</v>
      </c>
      <c r="E3035" t="s">
        <v>15</v>
      </c>
      <c r="F3035" t="s">
        <v>7430</v>
      </c>
      <c r="G3035">
        <v>3</v>
      </c>
      <c r="H3035" t="s">
        <v>4076</v>
      </c>
      <c r="I3035" t="s">
        <v>281</v>
      </c>
      <c r="J3035" t="s">
        <v>905</v>
      </c>
      <c r="K3035" t="s">
        <v>20</v>
      </c>
      <c r="L3035" t="s">
        <v>7431</v>
      </c>
      <c r="M3035" s="3" t="str">
        <f>HYPERLINK("..\..\Imagery\ScannedPhotos\1992\VN92-160.1.jpg")</f>
        <v>..\..\Imagery\ScannedPhotos\1992\VN92-160.1.jpg</v>
      </c>
    </row>
    <row r="3036" spans="1:13" x14ac:dyDescent="0.25">
      <c r="A3036" t="s">
        <v>7432</v>
      </c>
      <c r="B3036">
        <v>567765</v>
      </c>
      <c r="C3036">
        <v>5750190</v>
      </c>
      <c r="D3036">
        <v>21</v>
      </c>
      <c r="E3036" t="s">
        <v>15</v>
      </c>
      <c r="F3036" t="s">
        <v>7433</v>
      </c>
      <c r="G3036">
        <v>4</v>
      </c>
      <c r="H3036" t="s">
        <v>1513</v>
      </c>
      <c r="I3036" t="s">
        <v>65</v>
      </c>
      <c r="J3036" t="s">
        <v>1514</v>
      </c>
      <c r="K3036" t="s">
        <v>56</v>
      </c>
      <c r="L3036" t="s">
        <v>7434</v>
      </c>
      <c r="M3036" s="3" t="str">
        <f>HYPERLINK("..\..\Imagery\ScannedPhotos\1993\CG93-459.2.jpg")</f>
        <v>..\..\Imagery\ScannedPhotos\1993\CG93-459.2.jpg</v>
      </c>
    </row>
    <row r="3037" spans="1:13" x14ac:dyDescent="0.25">
      <c r="A3037" t="s">
        <v>7432</v>
      </c>
      <c r="B3037">
        <v>567765</v>
      </c>
      <c r="C3037">
        <v>5750190</v>
      </c>
      <c r="D3037">
        <v>21</v>
      </c>
      <c r="E3037" t="s">
        <v>15</v>
      </c>
      <c r="F3037" t="s">
        <v>7435</v>
      </c>
      <c r="G3037">
        <v>4</v>
      </c>
      <c r="H3037" t="s">
        <v>1513</v>
      </c>
      <c r="I3037" t="s">
        <v>401</v>
      </c>
      <c r="J3037" t="s">
        <v>1514</v>
      </c>
      <c r="K3037" t="s">
        <v>56</v>
      </c>
      <c r="L3037" t="s">
        <v>7434</v>
      </c>
      <c r="M3037" s="3" t="str">
        <f>HYPERLINK("..\..\Imagery\ScannedPhotos\1993\CG93-459.3.jpg")</f>
        <v>..\..\Imagery\ScannedPhotos\1993\CG93-459.3.jpg</v>
      </c>
    </row>
    <row r="3038" spans="1:13" x14ac:dyDescent="0.25">
      <c r="A3038" t="s">
        <v>7411</v>
      </c>
      <c r="B3038">
        <v>579121</v>
      </c>
      <c r="C3038">
        <v>5918522</v>
      </c>
      <c r="D3038">
        <v>21</v>
      </c>
      <c r="E3038" t="s">
        <v>15</v>
      </c>
      <c r="F3038" t="s">
        <v>7436</v>
      </c>
      <c r="G3038">
        <v>3</v>
      </c>
      <c r="H3038" t="s">
        <v>2855</v>
      </c>
      <c r="I3038" t="s">
        <v>25</v>
      </c>
      <c r="J3038" t="s">
        <v>1583</v>
      </c>
      <c r="K3038" t="s">
        <v>20</v>
      </c>
      <c r="L3038" t="s">
        <v>7413</v>
      </c>
      <c r="M3038" s="3" t="str">
        <f>HYPERLINK("..\..\Imagery\ScannedPhotos\1985\CG85-597.3.jpg")</f>
        <v>..\..\Imagery\ScannedPhotos\1985\CG85-597.3.jpg</v>
      </c>
    </row>
    <row r="3039" spans="1:13" x14ac:dyDescent="0.25">
      <c r="A3039" t="s">
        <v>7411</v>
      </c>
      <c r="B3039">
        <v>579121</v>
      </c>
      <c r="C3039">
        <v>5918522</v>
      </c>
      <c r="D3039">
        <v>21</v>
      </c>
      <c r="E3039" t="s">
        <v>15</v>
      </c>
      <c r="F3039" t="s">
        <v>7437</v>
      </c>
      <c r="G3039">
        <v>3</v>
      </c>
      <c r="H3039" t="s">
        <v>2855</v>
      </c>
      <c r="I3039" t="s">
        <v>195</v>
      </c>
      <c r="J3039" t="s">
        <v>1583</v>
      </c>
      <c r="K3039" t="s">
        <v>20</v>
      </c>
      <c r="L3039" t="s">
        <v>7413</v>
      </c>
      <c r="M3039" s="3" t="str">
        <f>HYPERLINK("..\..\Imagery\ScannedPhotos\1985\CG85-597.2.jpg")</f>
        <v>..\..\Imagery\ScannedPhotos\1985\CG85-597.2.jpg</v>
      </c>
    </row>
    <row r="3040" spans="1:13" x14ac:dyDescent="0.25">
      <c r="A3040" t="s">
        <v>7438</v>
      </c>
      <c r="B3040">
        <v>524423</v>
      </c>
      <c r="C3040">
        <v>5951546</v>
      </c>
      <c r="D3040">
        <v>21</v>
      </c>
      <c r="E3040" t="s">
        <v>15</v>
      </c>
      <c r="F3040" t="s">
        <v>7439</v>
      </c>
      <c r="G3040">
        <v>2</v>
      </c>
      <c r="H3040" t="s">
        <v>718</v>
      </c>
      <c r="I3040" t="s">
        <v>209</v>
      </c>
      <c r="J3040" t="s">
        <v>48</v>
      </c>
      <c r="K3040" t="s">
        <v>20</v>
      </c>
      <c r="L3040" t="s">
        <v>3859</v>
      </c>
      <c r="M3040" s="3" t="str">
        <f>HYPERLINK("..\..\Imagery\ScannedPhotos\1981\VO81-098.1.jpg")</f>
        <v>..\..\Imagery\ScannedPhotos\1981\VO81-098.1.jpg</v>
      </c>
    </row>
    <row r="3041" spans="1:13" x14ac:dyDescent="0.25">
      <c r="A3041" t="s">
        <v>7438</v>
      </c>
      <c r="B3041">
        <v>524423</v>
      </c>
      <c r="C3041">
        <v>5951546</v>
      </c>
      <c r="D3041">
        <v>21</v>
      </c>
      <c r="E3041" t="s">
        <v>15</v>
      </c>
      <c r="F3041" t="s">
        <v>7440</v>
      </c>
      <c r="G3041">
        <v>2</v>
      </c>
      <c r="H3041" t="s">
        <v>718</v>
      </c>
      <c r="I3041" t="s">
        <v>386</v>
      </c>
      <c r="J3041" t="s">
        <v>48</v>
      </c>
      <c r="K3041" t="s">
        <v>20</v>
      </c>
      <c r="L3041" t="s">
        <v>7441</v>
      </c>
      <c r="M3041" s="3" t="str">
        <f>HYPERLINK("..\..\Imagery\ScannedPhotos\1981\VO81-098.2.jpg")</f>
        <v>..\..\Imagery\ScannedPhotos\1981\VO81-098.2.jpg</v>
      </c>
    </row>
    <row r="3042" spans="1:13" x14ac:dyDescent="0.25">
      <c r="A3042" t="s">
        <v>7442</v>
      </c>
      <c r="B3042">
        <v>523093</v>
      </c>
      <c r="C3042">
        <v>5955005</v>
      </c>
      <c r="D3042">
        <v>21</v>
      </c>
      <c r="E3042" t="s">
        <v>15</v>
      </c>
      <c r="F3042" t="s">
        <v>7443</v>
      </c>
      <c r="G3042">
        <v>1</v>
      </c>
      <c r="H3042" t="s">
        <v>718</v>
      </c>
      <c r="I3042" t="s">
        <v>418</v>
      </c>
      <c r="J3042" t="s">
        <v>48</v>
      </c>
      <c r="K3042" t="s">
        <v>20</v>
      </c>
      <c r="L3042" t="s">
        <v>7444</v>
      </c>
      <c r="M3042" s="3" t="str">
        <f>HYPERLINK("..\..\Imagery\ScannedPhotos\1981\VO81-108.jpg")</f>
        <v>..\..\Imagery\ScannedPhotos\1981\VO81-108.jpg</v>
      </c>
    </row>
    <row r="3043" spans="1:13" x14ac:dyDescent="0.25">
      <c r="A3043" t="s">
        <v>1680</v>
      </c>
      <c r="B3043">
        <v>416650</v>
      </c>
      <c r="C3043">
        <v>5875024</v>
      </c>
      <c r="D3043">
        <v>21</v>
      </c>
      <c r="E3043" t="s">
        <v>15</v>
      </c>
      <c r="F3043" t="s">
        <v>7445</v>
      </c>
      <c r="G3043">
        <v>10</v>
      </c>
      <c r="H3043" t="s">
        <v>556</v>
      </c>
      <c r="I3043" t="s">
        <v>137</v>
      </c>
      <c r="J3043" t="s">
        <v>557</v>
      </c>
      <c r="K3043" t="s">
        <v>20</v>
      </c>
      <c r="L3043" t="s">
        <v>7446</v>
      </c>
      <c r="M3043" s="3" t="str">
        <f>HYPERLINK("..\..\Imagery\ScannedPhotos\1995\CG95-341.4.jpg")</f>
        <v>..\..\Imagery\ScannedPhotos\1995\CG95-341.4.jpg</v>
      </c>
    </row>
    <row r="3044" spans="1:13" x14ac:dyDescent="0.25">
      <c r="A3044" t="s">
        <v>1680</v>
      </c>
      <c r="B3044">
        <v>416650</v>
      </c>
      <c r="C3044">
        <v>5875024</v>
      </c>
      <c r="D3044">
        <v>21</v>
      </c>
      <c r="E3044" t="s">
        <v>15</v>
      </c>
      <c r="F3044" t="s">
        <v>7447</v>
      </c>
      <c r="G3044">
        <v>10</v>
      </c>
      <c r="H3044" t="s">
        <v>3762</v>
      </c>
      <c r="I3044" t="s">
        <v>647</v>
      </c>
      <c r="J3044" t="s">
        <v>557</v>
      </c>
      <c r="K3044" t="s">
        <v>20</v>
      </c>
      <c r="L3044" t="s">
        <v>558</v>
      </c>
      <c r="M3044" s="3" t="str">
        <f>HYPERLINK("..\..\Imagery\ScannedPhotos\1995\CG95-341.1.jpg")</f>
        <v>..\..\Imagery\ScannedPhotos\1995\CG95-341.1.jpg</v>
      </c>
    </row>
    <row r="3045" spans="1:13" x14ac:dyDescent="0.25">
      <c r="A3045" t="s">
        <v>1680</v>
      </c>
      <c r="B3045">
        <v>416650</v>
      </c>
      <c r="C3045">
        <v>5875024</v>
      </c>
      <c r="D3045">
        <v>21</v>
      </c>
      <c r="E3045" t="s">
        <v>15</v>
      </c>
      <c r="F3045" t="s">
        <v>7448</v>
      </c>
      <c r="G3045">
        <v>10</v>
      </c>
      <c r="H3045" t="s">
        <v>3762</v>
      </c>
      <c r="I3045" t="s">
        <v>30</v>
      </c>
      <c r="J3045" t="s">
        <v>557</v>
      </c>
      <c r="K3045" t="s">
        <v>20</v>
      </c>
      <c r="L3045" t="s">
        <v>558</v>
      </c>
      <c r="M3045" s="3" t="str">
        <f>HYPERLINK("..\..\Imagery\ScannedPhotos\1995\CG95-341.2.jpg")</f>
        <v>..\..\Imagery\ScannedPhotos\1995\CG95-341.2.jpg</v>
      </c>
    </row>
    <row r="3046" spans="1:13" x14ac:dyDescent="0.25">
      <c r="A3046" t="s">
        <v>1680</v>
      </c>
      <c r="B3046">
        <v>416650</v>
      </c>
      <c r="C3046">
        <v>5875024</v>
      </c>
      <c r="D3046">
        <v>21</v>
      </c>
      <c r="E3046" t="s">
        <v>15</v>
      </c>
      <c r="F3046" t="s">
        <v>7449</v>
      </c>
      <c r="G3046">
        <v>10</v>
      </c>
      <c r="H3046" t="s">
        <v>556</v>
      </c>
      <c r="I3046" t="s">
        <v>85</v>
      </c>
      <c r="J3046" t="s">
        <v>557</v>
      </c>
      <c r="K3046" t="s">
        <v>20</v>
      </c>
      <c r="L3046" t="s">
        <v>7450</v>
      </c>
      <c r="M3046" s="3" t="str">
        <f>HYPERLINK("..\..\Imagery\ScannedPhotos\1995\CG95-341.9.jpg")</f>
        <v>..\..\Imagery\ScannedPhotos\1995\CG95-341.9.jpg</v>
      </c>
    </row>
    <row r="3047" spans="1:13" x14ac:dyDescent="0.25">
      <c r="A3047" t="s">
        <v>6099</v>
      </c>
      <c r="B3047">
        <v>468343</v>
      </c>
      <c r="C3047">
        <v>5910377</v>
      </c>
      <c r="D3047">
        <v>21</v>
      </c>
      <c r="E3047" t="s">
        <v>15</v>
      </c>
      <c r="F3047" t="s">
        <v>7451</v>
      </c>
      <c r="G3047">
        <v>6</v>
      </c>
      <c r="H3047" t="s">
        <v>3982</v>
      </c>
      <c r="I3047" t="s">
        <v>304</v>
      </c>
      <c r="J3047" t="s">
        <v>2247</v>
      </c>
      <c r="K3047" t="s">
        <v>20</v>
      </c>
      <c r="L3047" t="s">
        <v>7452</v>
      </c>
      <c r="M3047" s="3" t="str">
        <f>HYPERLINK("..\..\Imagery\ScannedPhotos\1984\CG84-147.6.jpg")</f>
        <v>..\..\Imagery\ScannedPhotos\1984\CG84-147.6.jpg</v>
      </c>
    </row>
    <row r="3048" spans="1:13" x14ac:dyDescent="0.25">
      <c r="A3048" t="s">
        <v>4028</v>
      </c>
      <c r="B3048">
        <v>398588</v>
      </c>
      <c r="C3048">
        <v>5990466</v>
      </c>
      <c r="D3048">
        <v>21</v>
      </c>
      <c r="E3048" t="s">
        <v>15</v>
      </c>
      <c r="F3048" t="s">
        <v>7453</v>
      </c>
      <c r="G3048">
        <v>2</v>
      </c>
      <c r="H3048" t="s">
        <v>1133</v>
      </c>
      <c r="I3048" t="s">
        <v>304</v>
      </c>
      <c r="J3048" t="s">
        <v>623</v>
      </c>
      <c r="K3048" t="s">
        <v>20</v>
      </c>
      <c r="L3048" t="s">
        <v>7083</v>
      </c>
      <c r="M3048" s="3" t="str">
        <f>HYPERLINK("..\..\Imagery\ScannedPhotos\1980\CG80-191.2.jpg")</f>
        <v>..\..\Imagery\ScannedPhotos\1980\CG80-191.2.jpg</v>
      </c>
    </row>
    <row r="3049" spans="1:13" x14ac:dyDescent="0.25">
      <c r="A3049" t="s">
        <v>6488</v>
      </c>
      <c r="B3049">
        <v>585145</v>
      </c>
      <c r="C3049">
        <v>5791116</v>
      </c>
      <c r="D3049">
        <v>21</v>
      </c>
      <c r="E3049" t="s">
        <v>15</v>
      </c>
      <c r="F3049" t="s">
        <v>7454</v>
      </c>
      <c r="G3049">
        <v>11</v>
      </c>
      <c r="H3049" t="s">
        <v>2984</v>
      </c>
      <c r="I3049" t="s">
        <v>114</v>
      </c>
      <c r="J3049" t="s">
        <v>19</v>
      </c>
      <c r="K3049" t="s">
        <v>56</v>
      </c>
      <c r="L3049" t="s">
        <v>7455</v>
      </c>
      <c r="M3049" s="3" t="str">
        <f>HYPERLINK("..\..\Imagery\ScannedPhotos\1987\CG87-469.2.jpg")</f>
        <v>..\..\Imagery\ScannedPhotos\1987\CG87-469.2.jpg</v>
      </c>
    </row>
    <row r="3050" spans="1:13" x14ac:dyDescent="0.25">
      <c r="A3050" t="s">
        <v>7456</v>
      </c>
      <c r="B3050">
        <v>475484</v>
      </c>
      <c r="C3050">
        <v>6000802</v>
      </c>
      <c r="D3050">
        <v>21</v>
      </c>
      <c r="E3050" t="s">
        <v>15</v>
      </c>
      <c r="F3050" t="s">
        <v>7457</v>
      </c>
      <c r="G3050">
        <v>1</v>
      </c>
      <c r="H3050" t="s">
        <v>1326</v>
      </c>
      <c r="I3050" t="s">
        <v>108</v>
      </c>
      <c r="J3050" t="s">
        <v>95</v>
      </c>
      <c r="K3050" t="s">
        <v>20</v>
      </c>
      <c r="L3050" t="s">
        <v>7458</v>
      </c>
      <c r="M3050" s="3" t="str">
        <f>HYPERLINK("..\..\Imagery\ScannedPhotos\1980\CG80-390.jpg")</f>
        <v>..\..\Imagery\ScannedPhotos\1980\CG80-390.jpg</v>
      </c>
    </row>
    <row r="3051" spans="1:13" x14ac:dyDescent="0.25">
      <c r="A3051" t="s">
        <v>7459</v>
      </c>
      <c r="B3051">
        <v>485279</v>
      </c>
      <c r="C3051">
        <v>5927965</v>
      </c>
      <c r="D3051">
        <v>21</v>
      </c>
      <c r="E3051" t="s">
        <v>15</v>
      </c>
      <c r="F3051" t="s">
        <v>7460</v>
      </c>
      <c r="G3051">
        <v>1</v>
      </c>
      <c r="H3051" t="s">
        <v>2912</v>
      </c>
      <c r="I3051" t="s">
        <v>52</v>
      </c>
      <c r="J3051" t="s">
        <v>2913</v>
      </c>
      <c r="K3051" t="s">
        <v>20</v>
      </c>
      <c r="L3051" t="s">
        <v>7461</v>
      </c>
      <c r="M3051" s="3" t="str">
        <f>HYPERLINK("..\..\Imagery\ScannedPhotos\1984\VN84-269.jpg")</f>
        <v>..\..\Imagery\ScannedPhotos\1984\VN84-269.jpg</v>
      </c>
    </row>
    <row r="3052" spans="1:13" x14ac:dyDescent="0.25">
      <c r="A3052" t="s">
        <v>7462</v>
      </c>
      <c r="B3052">
        <v>483307</v>
      </c>
      <c r="C3052">
        <v>5925352</v>
      </c>
      <c r="D3052">
        <v>21</v>
      </c>
      <c r="E3052" t="s">
        <v>15</v>
      </c>
      <c r="F3052" t="s">
        <v>7463</v>
      </c>
      <c r="G3052">
        <v>1</v>
      </c>
      <c r="H3052" t="s">
        <v>2912</v>
      </c>
      <c r="I3052" t="s">
        <v>65</v>
      </c>
      <c r="J3052" t="s">
        <v>2913</v>
      </c>
      <c r="K3052" t="s">
        <v>20</v>
      </c>
      <c r="L3052" t="s">
        <v>7464</v>
      </c>
      <c r="M3052" s="3" t="str">
        <f>HYPERLINK("..\..\Imagery\ScannedPhotos\1984\VN84-281.jpg")</f>
        <v>..\..\Imagery\ScannedPhotos\1984\VN84-281.jpg</v>
      </c>
    </row>
    <row r="3053" spans="1:13" x14ac:dyDescent="0.25">
      <c r="A3053" t="s">
        <v>7465</v>
      </c>
      <c r="B3053">
        <v>472128</v>
      </c>
      <c r="C3053">
        <v>5928117</v>
      </c>
      <c r="D3053">
        <v>21</v>
      </c>
      <c r="E3053" t="s">
        <v>15</v>
      </c>
      <c r="F3053" t="s">
        <v>7466</v>
      </c>
      <c r="G3053">
        <v>1</v>
      </c>
      <c r="H3053" t="s">
        <v>4058</v>
      </c>
      <c r="I3053" t="s">
        <v>294</v>
      </c>
      <c r="J3053" t="s">
        <v>2247</v>
      </c>
      <c r="K3053" t="s">
        <v>20</v>
      </c>
      <c r="L3053" t="s">
        <v>7467</v>
      </c>
      <c r="M3053" s="3" t="str">
        <f>HYPERLINK("..\..\Imagery\ScannedPhotos\1984\VN84-293.jpg")</f>
        <v>..\..\Imagery\ScannedPhotos\1984\VN84-293.jpg</v>
      </c>
    </row>
    <row r="3054" spans="1:13" x14ac:dyDescent="0.25">
      <c r="A3054" t="s">
        <v>7468</v>
      </c>
      <c r="B3054">
        <v>471284</v>
      </c>
      <c r="C3054">
        <v>5928435</v>
      </c>
      <c r="D3054">
        <v>21</v>
      </c>
      <c r="E3054" t="s">
        <v>15</v>
      </c>
      <c r="F3054" t="s">
        <v>7469</v>
      </c>
      <c r="G3054">
        <v>1</v>
      </c>
      <c r="H3054" t="s">
        <v>4058</v>
      </c>
      <c r="I3054" t="s">
        <v>281</v>
      </c>
      <c r="J3054" t="s">
        <v>2247</v>
      </c>
      <c r="K3054" t="s">
        <v>20</v>
      </c>
      <c r="L3054" t="s">
        <v>7470</v>
      </c>
      <c r="M3054" s="3" t="str">
        <f>HYPERLINK("..\..\Imagery\ScannedPhotos\1984\VN84-297.jpg")</f>
        <v>..\..\Imagery\ScannedPhotos\1984\VN84-297.jpg</v>
      </c>
    </row>
    <row r="3055" spans="1:13" x14ac:dyDescent="0.25">
      <c r="A3055" t="s">
        <v>966</v>
      </c>
      <c r="B3055">
        <v>496686</v>
      </c>
      <c r="C3055">
        <v>5869509</v>
      </c>
      <c r="D3055">
        <v>21</v>
      </c>
      <c r="E3055" t="s">
        <v>15</v>
      </c>
      <c r="F3055" t="s">
        <v>7471</v>
      </c>
      <c r="G3055">
        <v>5</v>
      </c>
      <c r="H3055" t="s">
        <v>968</v>
      </c>
      <c r="I3055" t="s">
        <v>222</v>
      </c>
      <c r="J3055" t="s">
        <v>42</v>
      </c>
      <c r="K3055" t="s">
        <v>20</v>
      </c>
      <c r="L3055" t="s">
        <v>7472</v>
      </c>
      <c r="M3055" s="3" t="str">
        <f>HYPERLINK("..\..\Imagery\ScannedPhotos\1991\VN91-005.4.jpg")</f>
        <v>..\..\Imagery\ScannedPhotos\1991\VN91-005.4.jpg</v>
      </c>
    </row>
    <row r="3056" spans="1:13" x14ac:dyDescent="0.25">
      <c r="A3056" t="s">
        <v>966</v>
      </c>
      <c r="B3056">
        <v>496686</v>
      </c>
      <c r="C3056">
        <v>5869509</v>
      </c>
      <c r="D3056">
        <v>21</v>
      </c>
      <c r="E3056" t="s">
        <v>15</v>
      </c>
      <c r="F3056" t="s">
        <v>7473</v>
      </c>
      <c r="G3056">
        <v>5</v>
      </c>
      <c r="H3056" t="s">
        <v>968</v>
      </c>
      <c r="I3056" t="s">
        <v>214</v>
      </c>
      <c r="J3056" t="s">
        <v>42</v>
      </c>
      <c r="K3056" t="s">
        <v>20</v>
      </c>
      <c r="L3056" t="s">
        <v>7472</v>
      </c>
      <c r="M3056" s="3" t="str">
        <f>HYPERLINK("..\..\Imagery\ScannedPhotos\1991\VN91-005.3.jpg")</f>
        <v>..\..\Imagery\ScannedPhotos\1991\VN91-005.3.jpg</v>
      </c>
    </row>
    <row r="3057" spans="1:13" x14ac:dyDescent="0.25">
      <c r="A3057" t="s">
        <v>1032</v>
      </c>
      <c r="B3057">
        <v>579955</v>
      </c>
      <c r="C3057">
        <v>5876736</v>
      </c>
      <c r="D3057">
        <v>21</v>
      </c>
      <c r="E3057" t="s">
        <v>15</v>
      </c>
      <c r="F3057" t="s">
        <v>7474</v>
      </c>
      <c r="G3057">
        <v>1</v>
      </c>
      <c r="H3057" t="s">
        <v>1013</v>
      </c>
      <c r="I3057" t="s">
        <v>360</v>
      </c>
      <c r="J3057" t="s">
        <v>1014</v>
      </c>
      <c r="K3057" t="s">
        <v>109</v>
      </c>
      <c r="L3057" t="s">
        <v>7475</v>
      </c>
      <c r="M3057" s="3" t="str">
        <f>HYPERLINK("..\..\Imagery\ScannedPhotos\1985\CG85-465.3.jpg")</f>
        <v>..\..\Imagery\ScannedPhotos\1985\CG85-465.3.jpg</v>
      </c>
    </row>
    <row r="3058" spans="1:13" x14ac:dyDescent="0.25">
      <c r="A3058" t="s">
        <v>1032</v>
      </c>
      <c r="B3058">
        <v>579955</v>
      </c>
      <c r="C3058">
        <v>5876736</v>
      </c>
      <c r="D3058">
        <v>21</v>
      </c>
      <c r="E3058" t="s">
        <v>15</v>
      </c>
      <c r="F3058" t="s">
        <v>7476</v>
      </c>
      <c r="G3058">
        <v>1</v>
      </c>
      <c r="H3058" t="s">
        <v>1013</v>
      </c>
      <c r="I3058" t="s">
        <v>304</v>
      </c>
      <c r="J3058" t="s">
        <v>1014</v>
      </c>
      <c r="K3058" t="s">
        <v>109</v>
      </c>
      <c r="L3058" t="s">
        <v>7477</v>
      </c>
      <c r="M3058" s="3" t="str">
        <f>HYPERLINK("..\..\Imagery\ScannedPhotos\1985\CG85-465.1.jpg")</f>
        <v>..\..\Imagery\ScannedPhotos\1985\CG85-465.1.jpg</v>
      </c>
    </row>
    <row r="3059" spans="1:13" x14ac:dyDescent="0.25">
      <c r="A3059" t="s">
        <v>1032</v>
      </c>
      <c r="B3059">
        <v>579955</v>
      </c>
      <c r="C3059">
        <v>5876736</v>
      </c>
      <c r="D3059">
        <v>21</v>
      </c>
      <c r="E3059" t="s">
        <v>15</v>
      </c>
      <c r="F3059" t="s">
        <v>7478</v>
      </c>
      <c r="G3059">
        <v>1</v>
      </c>
      <c r="H3059" t="s">
        <v>1013</v>
      </c>
      <c r="I3059" t="s">
        <v>195</v>
      </c>
      <c r="J3059" t="s">
        <v>1014</v>
      </c>
      <c r="K3059" t="s">
        <v>109</v>
      </c>
      <c r="L3059" t="s">
        <v>7479</v>
      </c>
      <c r="M3059" s="3" t="str">
        <f>HYPERLINK("..\..\Imagery\ScannedPhotos\1985\CG85-465.2.jpg")</f>
        <v>..\..\Imagery\ScannedPhotos\1985\CG85-465.2.jpg</v>
      </c>
    </row>
    <row r="3060" spans="1:13" x14ac:dyDescent="0.25">
      <c r="A3060" t="s">
        <v>7480</v>
      </c>
      <c r="B3060">
        <v>579716</v>
      </c>
      <c r="C3060">
        <v>5877333</v>
      </c>
      <c r="D3060">
        <v>21</v>
      </c>
      <c r="E3060" t="s">
        <v>15</v>
      </c>
      <c r="F3060" t="s">
        <v>7481</v>
      </c>
      <c r="G3060">
        <v>1</v>
      </c>
      <c r="H3060" t="s">
        <v>2733</v>
      </c>
      <c r="I3060" t="s">
        <v>304</v>
      </c>
      <c r="J3060" t="s">
        <v>814</v>
      </c>
      <c r="K3060" t="s">
        <v>228</v>
      </c>
      <c r="L3060" t="s">
        <v>7482</v>
      </c>
      <c r="M3060" s="3" t="str">
        <f>HYPERLINK("..\..\Imagery\ScannedPhotos\1985\CG85-466.1.jpg")</f>
        <v>..\..\Imagery\ScannedPhotos\1985\CG85-466.1.jpg</v>
      </c>
    </row>
    <row r="3061" spans="1:13" x14ac:dyDescent="0.25">
      <c r="A3061" t="s">
        <v>7480</v>
      </c>
      <c r="B3061">
        <v>579716</v>
      </c>
      <c r="C3061">
        <v>5877333</v>
      </c>
      <c r="D3061">
        <v>21</v>
      </c>
      <c r="E3061" t="s">
        <v>15</v>
      </c>
      <c r="F3061" t="s">
        <v>7483</v>
      </c>
      <c r="G3061">
        <v>1</v>
      </c>
      <c r="H3061" t="s">
        <v>2733</v>
      </c>
      <c r="I3061" t="s">
        <v>195</v>
      </c>
      <c r="J3061" t="s">
        <v>814</v>
      </c>
      <c r="K3061" t="s">
        <v>228</v>
      </c>
      <c r="L3061" t="s">
        <v>7484</v>
      </c>
      <c r="M3061" s="3" t="str">
        <f>HYPERLINK("..\..\Imagery\ScannedPhotos\1985\CG85-466.2.jpg")</f>
        <v>..\..\Imagery\ScannedPhotos\1985\CG85-466.2.jpg</v>
      </c>
    </row>
    <row r="3062" spans="1:13" x14ac:dyDescent="0.25">
      <c r="A3062" t="s">
        <v>6069</v>
      </c>
      <c r="B3062">
        <v>462112</v>
      </c>
      <c r="C3062">
        <v>5898889</v>
      </c>
      <c r="D3062">
        <v>21</v>
      </c>
      <c r="E3062" t="s">
        <v>15</v>
      </c>
      <c r="F3062" t="s">
        <v>7485</v>
      </c>
      <c r="G3062">
        <v>3</v>
      </c>
      <c r="H3062" t="s">
        <v>2395</v>
      </c>
      <c r="I3062" t="s">
        <v>137</v>
      </c>
      <c r="J3062" t="s">
        <v>2247</v>
      </c>
      <c r="K3062" t="s">
        <v>20</v>
      </c>
      <c r="L3062" t="s">
        <v>6071</v>
      </c>
      <c r="M3062" s="3" t="str">
        <f>HYPERLINK("..\..\Imagery\ScannedPhotos\1984\VN84-452.1.jpg")</f>
        <v>..\..\Imagery\ScannedPhotos\1984\VN84-452.1.jpg</v>
      </c>
    </row>
    <row r="3063" spans="1:13" x14ac:dyDescent="0.25">
      <c r="A3063" t="s">
        <v>7486</v>
      </c>
      <c r="B3063">
        <v>451817</v>
      </c>
      <c r="C3063">
        <v>5904909</v>
      </c>
      <c r="D3063">
        <v>21</v>
      </c>
      <c r="E3063" t="s">
        <v>15</v>
      </c>
      <c r="F3063" t="s">
        <v>7487</v>
      </c>
      <c r="G3063">
        <v>2</v>
      </c>
      <c r="H3063" t="s">
        <v>1333</v>
      </c>
      <c r="I3063" t="s">
        <v>647</v>
      </c>
      <c r="J3063" t="s">
        <v>1334</v>
      </c>
      <c r="K3063" t="s">
        <v>20</v>
      </c>
      <c r="L3063" t="s">
        <v>7488</v>
      </c>
      <c r="M3063" s="3" t="str">
        <f>HYPERLINK("..\..\Imagery\ScannedPhotos\1984\CG84-163.1.jpg")</f>
        <v>..\..\Imagery\ScannedPhotos\1984\CG84-163.1.jpg</v>
      </c>
    </row>
    <row r="3064" spans="1:13" x14ac:dyDescent="0.25">
      <c r="A3064" t="s">
        <v>7486</v>
      </c>
      <c r="B3064">
        <v>451817</v>
      </c>
      <c r="C3064">
        <v>5904909</v>
      </c>
      <c r="D3064">
        <v>21</v>
      </c>
      <c r="E3064" t="s">
        <v>15</v>
      </c>
      <c r="F3064" t="s">
        <v>7489</v>
      </c>
      <c r="G3064">
        <v>2</v>
      </c>
      <c r="H3064" t="s">
        <v>1333</v>
      </c>
      <c r="I3064" t="s">
        <v>30</v>
      </c>
      <c r="J3064" t="s">
        <v>1334</v>
      </c>
      <c r="K3064" t="s">
        <v>20</v>
      </c>
      <c r="L3064" t="s">
        <v>7488</v>
      </c>
      <c r="M3064" s="3" t="str">
        <f>HYPERLINK("..\..\Imagery\ScannedPhotos\1984\CG84-163.2.jpg")</f>
        <v>..\..\Imagery\ScannedPhotos\1984\CG84-163.2.jpg</v>
      </c>
    </row>
    <row r="3065" spans="1:13" x14ac:dyDescent="0.25">
      <c r="A3065" t="s">
        <v>7490</v>
      </c>
      <c r="B3065">
        <v>450361</v>
      </c>
      <c r="C3065">
        <v>5903979</v>
      </c>
      <c r="D3065">
        <v>21</v>
      </c>
      <c r="E3065" t="s">
        <v>15</v>
      </c>
      <c r="F3065" t="s">
        <v>7491</v>
      </c>
      <c r="G3065">
        <v>1</v>
      </c>
      <c r="H3065" t="s">
        <v>1333</v>
      </c>
      <c r="I3065" t="s">
        <v>114</v>
      </c>
      <c r="J3065" t="s">
        <v>1334</v>
      </c>
      <c r="K3065" t="s">
        <v>56</v>
      </c>
      <c r="L3065" t="s">
        <v>858</v>
      </c>
      <c r="M3065" s="3" t="str">
        <f>HYPERLINK("..\..\Imagery\ScannedPhotos\1984\CG84-167.jpg")</f>
        <v>..\..\Imagery\ScannedPhotos\1984\CG84-167.jpg</v>
      </c>
    </row>
    <row r="3066" spans="1:13" x14ac:dyDescent="0.25">
      <c r="A3066" t="s">
        <v>7492</v>
      </c>
      <c r="B3066">
        <v>382755</v>
      </c>
      <c r="C3066">
        <v>5772476</v>
      </c>
      <c r="D3066">
        <v>21</v>
      </c>
      <c r="E3066" t="s">
        <v>15</v>
      </c>
      <c r="F3066" t="s">
        <v>7493</v>
      </c>
      <c r="G3066">
        <v>1</v>
      </c>
      <c r="H3066" t="s">
        <v>4033</v>
      </c>
      <c r="I3066" t="s">
        <v>129</v>
      </c>
      <c r="J3066" t="s">
        <v>4034</v>
      </c>
      <c r="K3066" t="s">
        <v>56</v>
      </c>
      <c r="L3066" t="s">
        <v>2632</v>
      </c>
      <c r="M3066" s="3" t="str">
        <f>HYPERLINK("..\..\Imagery\ScannedPhotos\1999\CG99-256.jpg")</f>
        <v>..\..\Imagery\ScannedPhotos\1999\CG99-256.jpg</v>
      </c>
    </row>
    <row r="3067" spans="1:13" x14ac:dyDescent="0.25">
      <c r="A3067" t="s">
        <v>7494</v>
      </c>
      <c r="B3067">
        <v>375745</v>
      </c>
      <c r="C3067">
        <v>5779518</v>
      </c>
      <c r="D3067">
        <v>21</v>
      </c>
      <c r="E3067" t="s">
        <v>15</v>
      </c>
      <c r="F3067" t="s">
        <v>7495</v>
      </c>
      <c r="G3067">
        <v>1</v>
      </c>
      <c r="H3067" t="s">
        <v>4033</v>
      </c>
      <c r="I3067" t="s">
        <v>143</v>
      </c>
      <c r="J3067" t="s">
        <v>4034</v>
      </c>
      <c r="K3067" t="s">
        <v>20</v>
      </c>
      <c r="L3067" t="s">
        <v>2632</v>
      </c>
      <c r="M3067" s="3" t="str">
        <f>HYPERLINK("..\..\Imagery\ScannedPhotos\1999\CG99-258.jpg")</f>
        <v>..\..\Imagery\ScannedPhotos\1999\CG99-258.jpg</v>
      </c>
    </row>
    <row r="3068" spans="1:13" x14ac:dyDescent="0.25">
      <c r="A3068" t="s">
        <v>7496</v>
      </c>
      <c r="B3068">
        <v>372580</v>
      </c>
      <c r="C3068">
        <v>5783976</v>
      </c>
      <c r="D3068">
        <v>21</v>
      </c>
      <c r="E3068" t="s">
        <v>15</v>
      </c>
      <c r="F3068" t="s">
        <v>7497</v>
      </c>
      <c r="G3068">
        <v>2</v>
      </c>
      <c r="H3068" t="s">
        <v>4033</v>
      </c>
      <c r="I3068" t="s">
        <v>47</v>
      </c>
      <c r="J3068" t="s">
        <v>4034</v>
      </c>
      <c r="K3068" t="s">
        <v>20</v>
      </c>
      <c r="L3068" t="s">
        <v>7498</v>
      </c>
      <c r="M3068" s="3" t="str">
        <f>HYPERLINK("..\..\Imagery\ScannedPhotos\1999\CG99-259.2.jpg")</f>
        <v>..\..\Imagery\ScannedPhotos\1999\CG99-259.2.jpg</v>
      </c>
    </row>
    <row r="3069" spans="1:13" x14ac:dyDescent="0.25">
      <c r="A3069" t="s">
        <v>7496</v>
      </c>
      <c r="B3069">
        <v>372580</v>
      </c>
      <c r="C3069">
        <v>5783976</v>
      </c>
      <c r="D3069">
        <v>21</v>
      </c>
      <c r="E3069" t="s">
        <v>15</v>
      </c>
      <c r="F3069" t="s">
        <v>7499</v>
      </c>
      <c r="G3069">
        <v>2</v>
      </c>
      <c r="H3069" t="s">
        <v>4033</v>
      </c>
      <c r="I3069" t="s">
        <v>147</v>
      </c>
      <c r="J3069" t="s">
        <v>4034</v>
      </c>
      <c r="K3069" t="s">
        <v>20</v>
      </c>
      <c r="L3069" t="s">
        <v>4080</v>
      </c>
      <c r="M3069" s="3" t="str">
        <f>HYPERLINK("..\..\Imagery\ScannedPhotos\1999\CG99-259.1.jpg")</f>
        <v>..\..\Imagery\ScannedPhotos\1999\CG99-259.1.jpg</v>
      </c>
    </row>
    <row r="3070" spans="1:13" x14ac:dyDescent="0.25">
      <c r="A3070" t="s">
        <v>7500</v>
      </c>
      <c r="B3070">
        <v>372334</v>
      </c>
      <c r="C3070">
        <v>5796183</v>
      </c>
      <c r="D3070">
        <v>21</v>
      </c>
      <c r="E3070" t="s">
        <v>15</v>
      </c>
      <c r="F3070" t="s">
        <v>7501</v>
      </c>
      <c r="G3070">
        <v>1</v>
      </c>
      <c r="H3070" t="s">
        <v>4033</v>
      </c>
      <c r="I3070" t="s">
        <v>52</v>
      </c>
      <c r="J3070" t="s">
        <v>4034</v>
      </c>
      <c r="K3070" t="s">
        <v>56</v>
      </c>
      <c r="L3070" t="s">
        <v>7502</v>
      </c>
      <c r="M3070" s="3" t="str">
        <f>HYPERLINK("..\..\Imagery\ScannedPhotos\1999\CG99-262.jpg")</f>
        <v>..\..\Imagery\ScannedPhotos\1999\CG99-262.jpg</v>
      </c>
    </row>
    <row r="3071" spans="1:13" x14ac:dyDescent="0.25">
      <c r="A3071" t="s">
        <v>7503</v>
      </c>
      <c r="B3071">
        <v>373012</v>
      </c>
      <c r="C3071">
        <v>5798703</v>
      </c>
      <c r="D3071">
        <v>21</v>
      </c>
      <c r="E3071" t="s">
        <v>15</v>
      </c>
      <c r="F3071" t="s">
        <v>7504</v>
      </c>
      <c r="G3071">
        <v>1</v>
      </c>
      <c r="H3071" t="s">
        <v>4033</v>
      </c>
      <c r="I3071" t="s">
        <v>65</v>
      </c>
      <c r="J3071" t="s">
        <v>4034</v>
      </c>
      <c r="K3071" t="s">
        <v>56</v>
      </c>
      <c r="L3071" t="s">
        <v>776</v>
      </c>
      <c r="M3071" s="3" t="str">
        <f>HYPERLINK("..\..\Imagery\ScannedPhotos\1999\CG99-263.jpg")</f>
        <v>..\..\Imagery\ScannedPhotos\1999\CG99-263.jpg</v>
      </c>
    </row>
    <row r="3072" spans="1:13" x14ac:dyDescent="0.25">
      <c r="A3072" t="s">
        <v>7505</v>
      </c>
      <c r="B3072">
        <v>369602</v>
      </c>
      <c r="C3072">
        <v>5805010</v>
      </c>
      <c r="D3072">
        <v>21</v>
      </c>
      <c r="E3072" t="s">
        <v>15</v>
      </c>
      <c r="F3072" t="s">
        <v>7506</v>
      </c>
      <c r="G3072">
        <v>1</v>
      </c>
      <c r="H3072" t="s">
        <v>6227</v>
      </c>
      <c r="I3072" t="s">
        <v>294</v>
      </c>
      <c r="J3072" t="s">
        <v>6228</v>
      </c>
      <c r="K3072" t="s">
        <v>20</v>
      </c>
      <c r="L3072" t="s">
        <v>5335</v>
      </c>
      <c r="M3072" s="3" t="str">
        <f>HYPERLINK("..\..\Imagery\ScannedPhotos\1999\CG99-284.jpg")</f>
        <v>..\..\Imagery\ScannedPhotos\1999\CG99-284.jpg</v>
      </c>
    </row>
    <row r="3073" spans="1:13" x14ac:dyDescent="0.25">
      <c r="A3073" t="s">
        <v>7507</v>
      </c>
      <c r="B3073">
        <v>370251</v>
      </c>
      <c r="C3073">
        <v>5809720</v>
      </c>
      <c r="D3073">
        <v>21</v>
      </c>
      <c r="E3073" t="s">
        <v>15</v>
      </c>
      <c r="F3073" t="s">
        <v>7508</v>
      </c>
      <c r="G3073">
        <v>2</v>
      </c>
      <c r="H3073" t="s">
        <v>6227</v>
      </c>
      <c r="I3073" t="s">
        <v>281</v>
      </c>
      <c r="J3073" t="s">
        <v>6228</v>
      </c>
      <c r="K3073" t="s">
        <v>20</v>
      </c>
      <c r="L3073" t="s">
        <v>2632</v>
      </c>
      <c r="M3073" s="3" t="str">
        <f>HYPERLINK("..\..\Imagery\ScannedPhotos\1999\CG99-285.2.jpg")</f>
        <v>..\..\Imagery\ScannedPhotos\1999\CG99-285.2.jpg</v>
      </c>
    </row>
    <row r="3074" spans="1:13" x14ac:dyDescent="0.25">
      <c r="A3074" t="s">
        <v>7509</v>
      </c>
      <c r="B3074">
        <v>455480</v>
      </c>
      <c r="C3074">
        <v>5894511</v>
      </c>
      <c r="D3074">
        <v>21</v>
      </c>
      <c r="E3074" t="s">
        <v>15</v>
      </c>
      <c r="F3074" t="s">
        <v>7510</v>
      </c>
      <c r="G3074">
        <v>3</v>
      </c>
      <c r="H3074" t="s">
        <v>60</v>
      </c>
      <c r="I3074" t="s">
        <v>294</v>
      </c>
      <c r="J3074" t="s">
        <v>61</v>
      </c>
      <c r="K3074" t="s">
        <v>20</v>
      </c>
      <c r="L3074" t="s">
        <v>7511</v>
      </c>
      <c r="M3074" s="3" t="str">
        <f>HYPERLINK("..\..\Imagery\ScannedPhotos\1984\CG84-174.1.jpg")</f>
        <v>..\..\Imagery\ScannedPhotos\1984\CG84-174.1.jpg</v>
      </c>
    </row>
    <row r="3075" spans="1:13" x14ac:dyDescent="0.25">
      <c r="A3075" t="s">
        <v>7509</v>
      </c>
      <c r="B3075">
        <v>455480</v>
      </c>
      <c r="C3075">
        <v>5894511</v>
      </c>
      <c r="D3075">
        <v>21</v>
      </c>
      <c r="E3075" t="s">
        <v>15</v>
      </c>
      <c r="F3075" t="s">
        <v>7512</v>
      </c>
      <c r="G3075">
        <v>3</v>
      </c>
      <c r="H3075" t="s">
        <v>60</v>
      </c>
      <c r="I3075" t="s">
        <v>79</v>
      </c>
      <c r="J3075" t="s">
        <v>61</v>
      </c>
      <c r="K3075" t="s">
        <v>20</v>
      </c>
      <c r="L3075" t="s">
        <v>7513</v>
      </c>
      <c r="M3075" s="3" t="str">
        <f>HYPERLINK("..\..\Imagery\ScannedPhotos\1984\CG84-174.2.jpg")</f>
        <v>..\..\Imagery\ScannedPhotos\1984\CG84-174.2.jpg</v>
      </c>
    </row>
    <row r="3076" spans="1:13" x14ac:dyDescent="0.25">
      <c r="A3076" t="s">
        <v>7514</v>
      </c>
      <c r="B3076">
        <v>455037</v>
      </c>
      <c r="C3076">
        <v>5896802</v>
      </c>
      <c r="D3076">
        <v>21</v>
      </c>
      <c r="E3076" t="s">
        <v>15</v>
      </c>
      <c r="F3076" t="s">
        <v>7515</v>
      </c>
      <c r="G3076">
        <v>1</v>
      </c>
      <c r="H3076" t="s">
        <v>60</v>
      </c>
      <c r="I3076" t="s">
        <v>137</v>
      </c>
      <c r="J3076" t="s">
        <v>61</v>
      </c>
      <c r="K3076" t="s">
        <v>20</v>
      </c>
      <c r="L3076" t="s">
        <v>7516</v>
      </c>
      <c r="M3076" s="3" t="str">
        <f>HYPERLINK("..\..\Imagery\ScannedPhotos\1984\CG84-177.jpg")</f>
        <v>..\..\Imagery\ScannedPhotos\1984\CG84-177.jpg</v>
      </c>
    </row>
    <row r="3077" spans="1:13" x14ac:dyDescent="0.25">
      <c r="A3077" t="s">
        <v>7517</v>
      </c>
      <c r="B3077">
        <v>575202</v>
      </c>
      <c r="C3077">
        <v>5832583</v>
      </c>
      <c r="D3077">
        <v>21</v>
      </c>
      <c r="E3077" t="s">
        <v>15</v>
      </c>
      <c r="F3077" t="s">
        <v>7518</v>
      </c>
      <c r="G3077">
        <v>1</v>
      </c>
      <c r="H3077" t="s">
        <v>7350</v>
      </c>
      <c r="I3077" t="s">
        <v>281</v>
      </c>
      <c r="J3077" t="s">
        <v>7351</v>
      </c>
      <c r="K3077" t="s">
        <v>20</v>
      </c>
      <c r="L3077" t="s">
        <v>2949</v>
      </c>
      <c r="M3077" s="3" t="str">
        <f>HYPERLINK("..\..\Imagery\ScannedPhotos\1986\JS86-452.jpg")</f>
        <v>..\..\Imagery\ScannedPhotos\1986\JS86-452.jpg</v>
      </c>
    </row>
    <row r="3078" spans="1:13" x14ac:dyDescent="0.25">
      <c r="A3078" t="s">
        <v>7519</v>
      </c>
      <c r="B3078">
        <v>577814</v>
      </c>
      <c r="C3078">
        <v>5833045</v>
      </c>
      <c r="D3078">
        <v>21</v>
      </c>
      <c r="E3078" t="s">
        <v>15</v>
      </c>
      <c r="F3078" t="s">
        <v>7520</v>
      </c>
      <c r="G3078">
        <v>1</v>
      </c>
      <c r="H3078" t="s">
        <v>7350</v>
      </c>
      <c r="I3078" t="s">
        <v>18</v>
      </c>
      <c r="J3078" t="s">
        <v>7351</v>
      </c>
      <c r="K3078" t="s">
        <v>20</v>
      </c>
      <c r="L3078" t="s">
        <v>7521</v>
      </c>
      <c r="M3078" s="3" t="str">
        <f>HYPERLINK("..\..\Imagery\ScannedPhotos\1986\JS86-456.jpg")</f>
        <v>..\..\Imagery\ScannedPhotos\1986\JS86-456.jpg</v>
      </c>
    </row>
    <row r="3079" spans="1:13" x14ac:dyDescent="0.25">
      <c r="A3079" t="s">
        <v>919</v>
      </c>
      <c r="B3079">
        <v>443989</v>
      </c>
      <c r="C3079">
        <v>5763744</v>
      </c>
      <c r="D3079">
        <v>21</v>
      </c>
      <c r="E3079" t="s">
        <v>15</v>
      </c>
      <c r="F3079" t="s">
        <v>7522</v>
      </c>
      <c r="G3079">
        <v>9</v>
      </c>
      <c r="H3079" t="s">
        <v>746</v>
      </c>
      <c r="I3079" t="s">
        <v>137</v>
      </c>
      <c r="J3079" t="s">
        <v>747</v>
      </c>
      <c r="K3079" t="s">
        <v>56</v>
      </c>
      <c r="L3079" t="s">
        <v>2488</v>
      </c>
      <c r="M3079" s="3" t="str">
        <f>HYPERLINK("..\..\Imagery\ScannedPhotos\1992\CG92-163.6.jpg")</f>
        <v>..\..\Imagery\ScannedPhotos\1992\CG92-163.6.jpg</v>
      </c>
    </row>
    <row r="3080" spans="1:13" x14ac:dyDescent="0.25">
      <c r="A3080" t="s">
        <v>7523</v>
      </c>
      <c r="B3080">
        <v>568254</v>
      </c>
      <c r="C3080">
        <v>5820114</v>
      </c>
      <c r="D3080">
        <v>21</v>
      </c>
      <c r="E3080" t="s">
        <v>15</v>
      </c>
      <c r="F3080" t="s">
        <v>7524</v>
      </c>
      <c r="G3080">
        <v>7</v>
      </c>
      <c r="H3080" t="s">
        <v>2023</v>
      </c>
      <c r="I3080" t="s">
        <v>281</v>
      </c>
      <c r="J3080" t="s">
        <v>1052</v>
      </c>
      <c r="K3080" t="s">
        <v>20</v>
      </c>
      <c r="L3080" t="s">
        <v>7525</v>
      </c>
      <c r="M3080" s="3" t="str">
        <f>HYPERLINK("..\..\Imagery\ScannedPhotos\1986\CG86-746.7.jpg")</f>
        <v>..\..\Imagery\ScannedPhotos\1986\CG86-746.7.jpg</v>
      </c>
    </row>
    <row r="3081" spans="1:13" x14ac:dyDescent="0.25">
      <c r="A3081" t="s">
        <v>7523</v>
      </c>
      <c r="B3081">
        <v>568254</v>
      </c>
      <c r="C3081">
        <v>5820114</v>
      </c>
      <c r="D3081">
        <v>21</v>
      </c>
      <c r="E3081" t="s">
        <v>15</v>
      </c>
      <c r="F3081" t="s">
        <v>7526</v>
      </c>
      <c r="G3081">
        <v>7</v>
      </c>
      <c r="H3081" t="s">
        <v>1750</v>
      </c>
      <c r="I3081" t="s">
        <v>30</v>
      </c>
      <c r="J3081" t="s">
        <v>1751</v>
      </c>
      <c r="K3081" t="s">
        <v>20</v>
      </c>
      <c r="L3081" t="s">
        <v>7527</v>
      </c>
      <c r="M3081" s="3" t="str">
        <f>HYPERLINK("..\..\Imagery\ScannedPhotos\1986\CG86-746.6.jpg")</f>
        <v>..\..\Imagery\ScannedPhotos\1986\CG86-746.6.jpg</v>
      </c>
    </row>
    <row r="3082" spans="1:13" x14ac:dyDescent="0.25">
      <c r="A3082" t="s">
        <v>7523</v>
      </c>
      <c r="B3082">
        <v>568254</v>
      </c>
      <c r="C3082">
        <v>5820114</v>
      </c>
      <c r="D3082">
        <v>21</v>
      </c>
      <c r="E3082" t="s">
        <v>15</v>
      </c>
      <c r="F3082" t="s">
        <v>7528</v>
      </c>
      <c r="G3082">
        <v>7</v>
      </c>
      <c r="H3082" t="s">
        <v>1750</v>
      </c>
      <c r="I3082" t="s">
        <v>647</v>
      </c>
      <c r="J3082" t="s">
        <v>1751</v>
      </c>
      <c r="K3082" t="s">
        <v>20</v>
      </c>
      <c r="L3082" t="s">
        <v>7529</v>
      </c>
      <c r="M3082" s="3" t="str">
        <f>HYPERLINK("..\..\Imagery\ScannedPhotos\1986\CG86-746.5.jpg")</f>
        <v>..\..\Imagery\ScannedPhotos\1986\CG86-746.5.jpg</v>
      </c>
    </row>
    <row r="3083" spans="1:13" x14ac:dyDescent="0.25">
      <c r="A3083" t="s">
        <v>7523</v>
      </c>
      <c r="B3083">
        <v>568254</v>
      </c>
      <c r="C3083">
        <v>5820114</v>
      </c>
      <c r="D3083">
        <v>21</v>
      </c>
      <c r="E3083" t="s">
        <v>15</v>
      </c>
      <c r="F3083" t="s">
        <v>7530</v>
      </c>
      <c r="G3083">
        <v>7</v>
      </c>
      <c r="H3083" t="s">
        <v>1750</v>
      </c>
      <c r="I3083" t="s">
        <v>195</v>
      </c>
      <c r="J3083" t="s">
        <v>1751</v>
      </c>
      <c r="K3083" t="s">
        <v>56</v>
      </c>
      <c r="L3083" t="s">
        <v>7531</v>
      </c>
      <c r="M3083" s="3" t="str">
        <f>HYPERLINK("..\..\Imagery\ScannedPhotos\1986\CG86-746.2.jpg")</f>
        <v>..\..\Imagery\ScannedPhotos\1986\CG86-746.2.jpg</v>
      </c>
    </row>
    <row r="3084" spans="1:13" x14ac:dyDescent="0.25">
      <c r="A3084" t="s">
        <v>7532</v>
      </c>
      <c r="B3084">
        <v>557974</v>
      </c>
      <c r="C3084">
        <v>5834099</v>
      </c>
      <c r="D3084">
        <v>21</v>
      </c>
      <c r="E3084" t="s">
        <v>15</v>
      </c>
      <c r="F3084" t="s">
        <v>7533</v>
      </c>
      <c r="G3084">
        <v>3</v>
      </c>
      <c r="H3084" t="s">
        <v>7534</v>
      </c>
      <c r="I3084" t="s">
        <v>418</v>
      </c>
      <c r="J3084" t="s">
        <v>1233</v>
      </c>
      <c r="K3084" t="s">
        <v>56</v>
      </c>
      <c r="L3084" t="s">
        <v>7535</v>
      </c>
      <c r="M3084" s="3" t="str">
        <f>HYPERLINK("..\..\Imagery\ScannedPhotos\1986\CG86-374.1.jpg")</f>
        <v>..\..\Imagery\ScannedPhotos\1986\CG86-374.1.jpg</v>
      </c>
    </row>
    <row r="3085" spans="1:13" x14ac:dyDescent="0.25">
      <c r="A3085" t="s">
        <v>7532</v>
      </c>
      <c r="B3085">
        <v>557974</v>
      </c>
      <c r="C3085">
        <v>5834099</v>
      </c>
      <c r="D3085">
        <v>21</v>
      </c>
      <c r="E3085" t="s">
        <v>15</v>
      </c>
      <c r="F3085" t="s">
        <v>7536</v>
      </c>
      <c r="G3085">
        <v>3</v>
      </c>
      <c r="H3085" t="s">
        <v>7534</v>
      </c>
      <c r="I3085" t="s">
        <v>304</v>
      </c>
      <c r="J3085" t="s">
        <v>1233</v>
      </c>
      <c r="K3085" t="s">
        <v>56</v>
      </c>
      <c r="L3085" t="s">
        <v>7535</v>
      </c>
      <c r="M3085" s="3" t="str">
        <f>HYPERLINK("..\..\Imagery\ScannedPhotos\1986\CG86-374.2.jpg")</f>
        <v>..\..\Imagery\ScannedPhotos\1986\CG86-374.2.jpg</v>
      </c>
    </row>
    <row r="3086" spans="1:13" x14ac:dyDescent="0.25">
      <c r="A3086" t="s">
        <v>7532</v>
      </c>
      <c r="B3086">
        <v>557974</v>
      </c>
      <c r="C3086">
        <v>5834099</v>
      </c>
      <c r="D3086">
        <v>21</v>
      </c>
      <c r="E3086" t="s">
        <v>15</v>
      </c>
      <c r="F3086" t="s">
        <v>7537</v>
      </c>
      <c r="G3086">
        <v>3</v>
      </c>
      <c r="H3086" t="s">
        <v>7534</v>
      </c>
      <c r="I3086" t="s">
        <v>195</v>
      </c>
      <c r="J3086" t="s">
        <v>1233</v>
      </c>
      <c r="K3086" t="s">
        <v>56</v>
      </c>
      <c r="L3086" t="s">
        <v>7535</v>
      </c>
      <c r="M3086" s="3" t="str">
        <f>HYPERLINK("..\..\Imagery\ScannedPhotos\1986\CG86-374.3.jpg")</f>
        <v>..\..\Imagery\ScannedPhotos\1986\CG86-374.3.jpg</v>
      </c>
    </row>
    <row r="3087" spans="1:13" x14ac:dyDescent="0.25">
      <c r="A3087" t="s">
        <v>7538</v>
      </c>
      <c r="B3087">
        <v>558914</v>
      </c>
      <c r="C3087">
        <v>5834317</v>
      </c>
      <c r="D3087">
        <v>21</v>
      </c>
      <c r="E3087" t="s">
        <v>15</v>
      </c>
      <c r="F3087" t="s">
        <v>7539</v>
      </c>
      <c r="G3087">
        <v>2</v>
      </c>
      <c r="H3087" t="s">
        <v>7534</v>
      </c>
      <c r="I3087" t="s">
        <v>360</v>
      </c>
      <c r="J3087" t="s">
        <v>1233</v>
      </c>
      <c r="K3087" t="s">
        <v>20</v>
      </c>
      <c r="L3087" t="s">
        <v>7540</v>
      </c>
      <c r="M3087" s="3" t="str">
        <f>HYPERLINK("..\..\Imagery\ScannedPhotos\1986\CG86-376.1.jpg")</f>
        <v>..\..\Imagery\ScannedPhotos\1986\CG86-376.1.jpg</v>
      </c>
    </row>
    <row r="3088" spans="1:13" x14ac:dyDescent="0.25">
      <c r="A3088" t="s">
        <v>7538</v>
      </c>
      <c r="B3088">
        <v>558914</v>
      </c>
      <c r="C3088">
        <v>5834317</v>
      </c>
      <c r="D3088">
        <v>21</v>
      </c>
      <c r="E3088" t="s">
        <v>15</v>
      </c>
      <c r="F3088" t="s">
        <v>7541</v>
      </c>
      <c r="G3088">
        <v>2</v>
      </c>
      <c r="H3088" t="s">
        <v>7534</v>
      </c>
      <c r="I3088" t="s">
        <v>647</v>
      </c>
      <c r="J3088" t="s">
        <v>1233</v>
      </c>
      <c r="K3088" t="s">
        <v>20</v>
      </c>
      <c r="L3088" t="s">
        <v>7542</v>
      </c>
      <c r="M3088" s="3" t="str">
        <f>HYPERLINK("..\..\Imagery\ScannedPhotos\1986\CG86-376.2.jpg")</f>
        <v>..\..\Imagery\ScannedPhotos\1986\CG86-376.2.jpg</v>
      </c>
    </row>
    <row r="3089" spans="1:13" x14ac:dyDescent="0.25">
      <c r="A3089" t="s">
        <v>7543</v>
      </c>
      <c r="B3089">
        <v>561047</v>
      </c>
      <c r="C3089">
        <v>5834333</v>
      </c>
      <c r="D3089">
        <v>21</v>
      </c>
      <c r="E3089" t="s">
        <v>15</v>
      </c>
      <c r="F3089" t="s">
        <v>7544</v>
      </c>
      <c r="G3089">
        <v>2</v>
      </c>
      <c r="H3089" t="s">
        <v>7534</v>
      </c>
      <c r="I3089" t="s">
        <v>30</v>
      </c>
      <c r="J3089" t="s">
        <v>1233</v>
      </c>
      <c r="K3089" t="s">
        <v>20</v>
      </c>
      <c r="L3089" t="s">
        <v>7545</v>
      </c>
      <c r="M3089" s="3" t="str">
        <f>HYPERLINK("..\..\Imagery\ScannedPhotos\1986\CG86-381.1.jpg")</f>
        <v>..\..\Imagery\ScannedPhotos\1986\CG86-381.1.jpg</v>
      </c>
    </row>
    <row r="3090" spans="1:13" x14ac:dyDescent="0.25">
      <c r="A3090" t="s">
        <v>7543</v>
      </c>
      <c r="B3090">
        <v>561047</v>
      </c>
      <c r="C3090">
        <v>5834333</v>
      </c>
      <c r="D3090">
        <v>21</v>
      </c>
      <c r="E3090" t="s">
        <v>15</v>
      </c>
      <c r="F3090" t="s">
        <v>7546</v>
      </c>
      <c r="G3090">
        <v>2</v>
      </c>
      <c r="H3090" t="s">
        <v>7534</v>
      </c>
      <c r="I3090" t="s">
        <v>114</v>
      </c>
      <c r="J3090" t="s">
        <v>1233</v>
      </c>
      <c r="K3090" t="s">
        <v>20</v>
      </c>
      <c r="L3090" t="s">
        <v>7547</v>
      </c>
      <c r="M3090" s="3" t="str">
        <f>HYPERLINK("..\..\Imagery\ScannedPhotos\1986\CG86-381.2.jpg")</f>
        <v>..\..\Imagery\ScannedPhotos\1986\CG86-381.2.jpg</v>
      </c>
    </row>
    <row r="3091" spans="1:13" x14ac:dyDescent="0.25">
      <c r="A3091" t="s">
        <v>7548</v>
      </c>
      <c r="B3091">
        <v>395903</v>
      </c>
      <c r="C3091">
        <v>6005638</v>
      </c>
      <c r="D3091">
        <v>21</v>
      </c>
      <c r="E3091" t="s">
        <v>15</v>
      </c>
      <c r="F3091" t="s">
        <v>7549</v>
      </c>
      <c r="G3091">
        <v>2</v>
      </c>
      <c r="H3091" t="s">
        <v>781</v>
      </c>
      <c r="I3091" t="s">
        <v>217</v>
      </c>
      <c r="J3091" t="s">
        <v>782</v>
      </c>
      <c r="K3091" t="s">
        <v>20</v>
      </c>
      <c r="L3091" t="s">
        <v>7550</v>
      </c>
      <c r="M3091" s="3" t="str">
        <f>HYPERLINK("..\..\Imagery\ScannedPhotos\1980\NN80-089.1.jpg")</f>
        <v>..\..\Imagery\ScannedPhotos\1980\NN80-089.1.jpg</v>
      </c>
    </row>
    <row r="3092" spans="1:13" x14ac:dyDescent="0.25">
      <c r="A3092" t="s">
        <v>7551</v>
      </c>
      <c r="B3092">
        <v>396172</v>
      </c>
      <c r="C3092">
        <v>6005701</v>
      </c>
      <c r="D3092">
        <v>21</v>
      </c>
      <c r="E3092" t="s">
        <v>15</v>
      </c>
      <c r="F3092" t="s">
        <v>7552</v>
      </c>
      <c r="G3092">
        <v>1</v>
      </c>
      <c r="H3092" t="s">
        <v>781</v>
      </c>
      <c r="I3092" t="s">
        <v>418</v>
      </c>
      <c r="J3092" t="s">
        <v>782</v>
      </c>
      <c r="K3092" t="s">
        <v>56</v>
      </c>
      <c r="L3092" t="s">
        <v>3779</v>
      </c>
      <c r="M3092" s="3" t="str">
        <f>HYPERLINK("..\..\Imagery\ScannedPhotos\1980\NN80-090.jpg")</f>
        <v>..\..\Imagery\ScannedPhotos\1980\NN80-090.jpg</v>
      </c>
    </row>
    <row r="3093" spans="1:13" x14ac:dyDescent="0.25">
      <c r="A3093" t="s">
        <v>7553</v>
      </c>
      <c r="B3093">
        <v>396352</v>
      </c>
      <c r="C3093">
        <v>6005911</v>
      </c>
      <c r="D3093">
        <v>21</v>
      </c>
      <c r="E3093" t="s">
        <v>15</v>
      </c>
      <c r="F3093" t="s">
        <v>7554</v>
      </c>
      <c r="G3093">
        <v>1</v>
      </c>
      <c r="H3093" t="s">
        <v>781</v>
      </c>
      <c r="I3093" t="s">
        <v>304</v>
      </c>
      <c r="J3093" t="s">
        <v>782</v>
      </c>
      <c r="K3093" t="s">
        <v>20</v>
      </c>
      <c r="L3093" t="s">
        <v>7555</v>
      </c>
      <c r="M3093" s="3" t="str">
        <f>HYPERLINK("..\..\Imagery\ScannedPhotos\1980\NN80-091.jpg")</f>
        <v>..\..\Imagery\ScannedPhotos\1980\NN80-091.jpg</v>
      </c>
    </row>
    <row r="3094" spans="1:13" x14ac:dyDescent="0.25">
      <c r="A3094" t="s">
        <v>7556</v>
      </c>
      <c r="B3094">
        <v>396173</v>
      </c>
      <c r="C3094">
        <v>5990115</v>
      </c>
      <c r="D3094">
        <v>21</v>
      </c>
      <c r="E3094" t="s">
        <v>15</v>
      </c>
      <c r="F3094" t="s">
        <v>7557</v>
      </c>
      <c r="G3094">
        <v>1</v>
      </c>
      <c r="H3094" t="s">
        <v>781</v>
      </c>
      <c r="I3094" t="s">
        <v>195</v>
      </c>
      <c r="J3094" t="s">
        <v>782</v>
      </c>
      <c r="K3094" t="s">
        <v>20</v>
      </c>
      <c r="L3094" t="s">
        <v>7558</v>
      </c>
      <c r="M3094" s="3" t="str">
        <f>HYPERLINK("..\..\Imagery\ScannedPhotos\1980\NN80-096.jpg")</f>
        <v>..\..\Imagery\ScannedPhotos\1980\NN80-096.jpg</v>
      </c>
    </row>
    <row r="3095" spans="1:13" x14ac:dyDescent="0.25">
      <c r="A3095" t="s">
        <v>7559</v>
      </c>
      <c r="B3095">
        <v>396008</v>
      </c>
      <c r="C3095">
        <v>5990075</v>
      </c>
      <c r="D3095">
        <v>21</v>
      </c>
      <c r="E3095" t="s">
        <v>15</v>
      </c>
      <c r="F3095" t="s">
        <v>7560</v>
      </c>
      <c r="G3095">
        <v>1</v>
      </c>
      <c r="H3095" t="s">
        <v>781</v>
      </c>
      <c r="I3095" t="s">
        <v>25</v>
      </c>
      <c r="J3095" t="s">
        <v>782</v>
      </c>
      <c r="K3095" t="s">
        <v>20</v>
      </c>
      <c r="L3095" t="s">
        <v>7561</v>
      </c>
      <c r="M3095" s="3" t="str">
        <f>HYPERLINK("..\..\Imagery\ScannedPhotos\1980\NN80-097.jpg")</f>
        <v>..\..\Imagery\ScannedPhotos\1980\NN80-097.jpg</v>
      </c>
    </row>
    <row r="3096" spans="1:13" x14ac:dyDescent="0.25">
      <c r="A3096" t="s">
        <v>7562</v>
      </c>
      <c r="B3096">
        <v>566436</v>
      </c>
      <c r="C3096">
        <v>5798784</v>
      </c>
      <c r="D3096">
        <v>21</v>
      </c>
      <c r="E3096" t="s">
        <v>15</v>
      </c>
      <c r="F3096" t="s">
        <v>7563</v>
      </c>
      <c r="G3096">
        <v>1</v>
      </c>
      <c r="K3096" t="s">
        <v>20</v>
      </c>
      <c r="L3096" t="s">
        <v>7564</v>
      </c>
      <c r="M3096" s="3" t="str">
        <f>HYPERLINK("..\..\Imagery\ScannedPhotos\2003\CG03-156.jpg")</f>
        <v>..\..\Imagery\ScannedPhotos\2003\CG03-156.jpg</v>
      </c>
    </row>
    <row r="3097" spans="1:13" x14ac:dyDescent="0.25">
      <c r="A3097" t="s">
        <v>7565</v>
      </c>
      <c r="B3097">
        <v>564600</v>
      </c>
      <c r="C3097">
        <v>5800844</v>
      </c>
      <c r="D3097">
        <v>21</v>
      </c>
      <c r="E3097" t="s">
        <v>15</v>
      </c>
      <c r="F3097" t="s">
        <v>7566</v>
      </c>
      <c r="G3097">
        <v>1</v>
      </c>
      <c r="K3097" t="s">
        <v>56</v>
      </c>
      <c r="L3097" t="s">
        <v>7567</v>
      </c>
      <c r="M3097" s="3" t="str">
        <f>HYPERLINK("..\..\Imagery\ScannedPhotos\2003\CG03-162.jpg")</f>
        <v>..\..\Imagery\ScannedPhotos\2003\CG03-162.jpg</v>
      </c>
    </row>
    <row r="3098" spans="1:13" x14ac:dyDescent="0.25">
      <c r="A3098" t="s">
        <v>7568</v>
      </c>
      <c r="B3098">
        <v>562367</v>
      </c>
      <c r="C3098">
        <v>5802290</v>
      </c>
      <c r="D3098">
        <v>21</v>
      </c>
      <c r="E3098" t="s">
        <v>15</v>
      </c>
      <c r="F3098" t="s">
        <v>7569</v>
      </c>
      <c r="G3098">
        <v>1</v>
      </c>
      <c r="K3098" t="s">
        <v>20</v>
      </c>
      <c r="L3098" t="s">
        <v>7570</v>
      </c>
      <c r="M3098" s="3" t="str">
        <f>HYPERLINK("..\..\Imagery\ScannedPhotos\2003\CG03-167.jpg")</f>
        <v>..\..\Imagery\ScannedPhotos\2003\CG03-167.jpg</v>
      </c>
    </row>
    <row r="3099" spans="1:13" x14ac:dyDescent="0.25">
      <c r="A3099" t="s">
        <v>4664</v>
      </c>
      <c r="B3099">
        <v>446516</v>
      </c>
      <c r="C3099">
        <v>5910631</v>
      </c>
      <c r="D3099">
        <v>21</v>
      </c>
      <c r="E3099" t="s">
        <v>15</v>
      </c>
      <c r="F3099" t="s">
        <v>7571</v>
      </c>
      <c r="G3099">
        <v>4</v>
      </c>
      <c r="H3099" t="s">
        <v>155</v>
      </c>
      <c r="I3099" t="s">
        <v>214</v>
      </c>
      <c r="J3099" t="s">
        <v>156</v>
      </c>
      <c r="K3099" t="s">
        <v>20</v>
      </c>
      <c r="L3099" t="s">
        <v>7572</v>
      </c>
      <c r="M3099" s="3" t="str">
        <f>HYPERLINK("..\..\Imagery\ScannedPhotos\1984\NN84-105.2.jpg")</f>
        <v>..\..\Imagery\ScannedPhotos\1984\NN84-105.2.jpg</v>
      </c>
    </row>
    <row r="3100" spans="1:13" x14ac:dyDescent="0.25">
      <c r="A3100" t="s">
        <v>7573</v>
      </c>
      <c r="B3100">
        <v>371645</v>
      </c>
      <c r="C3100">
        <v>5776667</v>
      </c>
      <c r="D3100">
        <v>21</v>
      </c>
      <c r="E3100" t="s">
        <v>15</v>
      </c>
      <c r="F3100" t="s">
        <v>7574</v>
      </c>
      <c r="G3100">
        <v>2</v>
      </c>
      <c r="H3100" t="s">
        <v>6227</v>
      </c>
      <c r="I3100" t="s">
        <v>375</v>
      </c>
      <c r="J3100" t="s">
        <v>6228</v>
      </c>
      <c r="K3100" t="s">
        <v>20</v>
      </c>
      <c r="L3100" t="s">
        <v>7575</v>
      </c>
      <c r="M3100" s="3" t="str">
        <f>HYPERLINK("..\..\Imagery\ScannedPhotos\1999\CG99-308.2.jpg")</f>
        <v>..\..\Imagery\ScannedPhotos\1999\CG99-308.2.jpg</v>
      </c>
    </row>
    <row r="3101" spans="1:13" x14ac:dyDescent="0.25">
      <c r="A3101" t="s">
        <v>7576</v>
      </c>
      <c r="B3101">
        <v>368937</v>
      </c>
      <c r="C3101">
        <v>5778080</v>
      </c>
      <c r="D3101">
        <v>21</v>
      </c>
      <c r="E3101" t="s">
        <v>15</v>
      </c>
      <c r="F3101" t="s">
        <v>7577</v>
      </c>
      <c r="G3101">
        <v>1</v>
      </c>
      <c r="H3101" t="s">
        <v>6227</v>
      </c>
      <c r="I3101" t="s">
        <v>94</v>
      </c>
      <c r="J3101" t="s">
        <v>6228</v>
      </c>
      <c r="K3101" t="s">
        <v>20</v>
      </c>
      <c r="L3101" t="s">
        <v>6464</v>
      </c>
      <c r="M3101" s="3" t="str">
        <f>HYPERLINK("..\..\Imagery\ScannedPhotos\1999\CG99-311.jpg")</f>
        <v>..\..\Imagery\ScannedPhotos\1999\CG99-311.jpg</v>
      </c>
    </row>
    <row r="3102" spans="1:13" x14ac:dyDescent="0.25">
      <c r="A3102" t="s">
        <v>7578</v>
      </c>
      <c r="B3102">
        <v>366962</v>
      </c>
      <c r="C3102">
        <v>5777907</v>
      </c>
      <c r="D3102">
        <v>21</v>
      </c>
      <c r="E3102" t="s">
        <v>15</v>
      </c>
      <c r="F3102" t="s">
        <v>7579</v>
      </c>
      <c r="G3102">
        <v>1</v>
      </c>
      <c r="H3102" t="s">
        <v>6227</v>
      </c>
      <c r="I3102" t="s">
        <v>386</v>
      </c>
      <c r="J3102" t="s">
        <v>6228</v>
      </c>
      <c r="K3102" t="s">
        <v>20</v>
      </c>
      <c r="L3102" t="s">
        <v>7580</v>
      </c>
      <c r="M3102" s="3" t="str">
        <f>HYPERLINK("..\..\Imagery\ScannedPhotos\1999\CG99-321.jpg")</f>
        <v>..\..\Imagery\ScannedPhotos\1999\CG99-321.jpg</v>
      </c>
    </row>
    <row r="3103" spans="1:13" x14ac:dyDescent="0.25">
      <c r="A3103" t="s">
        <v>7581</v>
      </c>
      <c r="B3103">
        <v>366469</v>
      </c>
      <c r="C3103">
        <v>5780449</v>
      </c>
      <c r="D3103">
        <v>21</v>
      </c>
      <c r="E3103" t="s">
        <v>15</v>
      </c>
      <c r="F3103" t="s">
        <v>7582</v>
      </c>
      <c r="G3103">
        <v>1</v>
      </c>
      <c r="H3103" t="s">
        <v>6227</v>
      </c>
      <c r="I3103" t="s">
        <v>217</v>
      </c>
      <c r="J3103" t="s">
        <v>6228</v>
      </c>
      <c r="K3103" t="s">
        <v>20</v>
      </c>
      <c r="L3103" t="s">
        <v>6464</v>
      </c>
      <c r="M3103" s="3" t="str">
        <f>HYPERLINK("..\..\Imagery\ScannedPhotos\1999\CG99-324.jpg")</f>
        <v>..\..\Imagery\ScannedPhotos\1999\CG99-324.jpg</v>
      </c>
    </row>
    <row r="3104" spans="1:13" x14ac:dyDescent="0.25">
      <c r="A3104" t="s">
        <v>7583</v>
      </c>
      <c r="B3104">
        <v>364250</v>
      </c>
      <c r="C3104">
        <v>5772491</v>
      </c>
      <c r="D3104">
        <v>21</v>
      </c>
      <c r="E3104" t="s">
        <v>15</v>
      </c>
      <c r="F3104" t="s">
        <v>7584</v>
      </c>
      <c r="G3104">
        <v>1</v>
      </c>
      <c r="H3104" t="s">
        <v>6227</v>
      </c>
      <c r="I3104" t="s">
        <v>214</v>
      </c>
      <c r="J3104" t="s">
        <v>6228</v>
      </c>
      <c r="K3104" t="s">
        <v>56</v>
      </c>
      <c r="L3104" t="s">
        <v>7585</v>
      </c>
      <c r="M3104" s="3" t="str">
        <f>HYPERLINK("..\..\Imagery\ScannedPhotos\1999\CG99-325.jpg")</f>
        <v>..\..\Imagery\ScannedPhotos\1999\CG99-325.jpg</v>
      </c>
    </row>
    <row r="3105" spans="1:13" x14ac:dyDescent="0.25">
      <c r="A3105" t="s">
        <v>6455</v>
      </c>
      <c r="B3105">
        <v>363908</v>
      </c>
      <c r="C3105">
        <v>5776037</v>
      </c>
      <c r="D3105">
        <v>21</v>
      </c>
      <c r="E3105" t="s">
        <v>15</v>
      </c>
      <c r="F3105" t="s">
        <v>7586</v>
      </c>
      <c r="G3105">
        <v>2</v>
      </c>
      <c r="H3105" t="s">
        <v>6227</v>
      </c>
      <c r="I3105" t="s">
        <v>222</v>
      </c>
      <c r="J3105" t="s">
        <v>6228</v>
      </c>
      <c r="K3105" t="s">
        <v>20</v>
      </c>
      <c r="L3105" t="s">
        <v>6457</v>
      </c>
      <c r="M3105" s="3" t="str">
        <f>HYPERLINK("..\..\Imagery\ScannedPhotos\1999\CG99-327.1.jpg")</f>
        <v>..\..\Imagery\ScannedPhotos\1999\CG99-327.1.jpg</v>
      </c>
    </row>
    <row r="3106" spans="1:13" x14ac:dyDescent="0.25">
      <c r="A3106" t="s">
        <v>7587</v>
      </c>
      <c r="B3106">
        <v>447072</v>
      </c>
      <c r="C3106">
        <v>5911734</v>
      </c>
      <c r="D3106">
        <v>21</v>
      </c>
      <c r="E3106" t="s">
        <v>15</v>
      </c>
      <c r="F3106" t="s">
        <v>7588</v>
      </c>
      <c r="G3106">
        <v>3</v>
      </c>
      <c r="H3106" t="s">
        <v>155</v>
      </c>
      <c r="I3106" t="s">
        <v>304</v>
      </c>
      <c r="J3106" t="s">
        <v>156</v>
      </c>
      <c r="K3106" t="s">
        <v>20</v>
      </c>
      <c r="L3106" t="s">
        <v>7589</v>
      </c>
      <c r="M3106" s="3" t="str">
        <f>HYPERLINK("..\..\Imagery\ScannedPhotos\1984\NN84-107.1.jpg")</f>
        <v>..\..\Imagery\ScannedPhotos\1984\NN84-107.1.jpg</v>
      </c>
    </row>
    <row r="3107" spans="1:13" x14ac:dyDescent="0.25">
      <c r="A3107" t="s">
        <v>7587</v>
      </c>
      <c r="B3107">
        <v>447072</v>
      </c>
      <c r="C3107">
        <v>5911734</v>
      </c>
      <c r="D3107">
        <v>21</v>
      </c>
      <c r="E3107" t="s">
        <v>15</v>
      </c>
      <c r="F3107" t="s">
        <v>7590</v>
      </c>
      <c r="G3107">
        <v>3</v>
      </c>
      <c r="H3107" t="s">
        <v>155</v>
      </c>
      <c r="I3107" t="s">
        <v>195</v>
      </c>
      <c r="J3107" t="s">
        <v>156</v>
      </c>
      <c r="K3107" t="s">
        <v>20</v>
      </c>
      <c r="L3107" t="s">
        <v>7589</v>
      </c>
      <c r="M3107" s="3" t="str">
        <f>HYPERLINK("..\..\Imagery\ScannedPhotos\1984\NN84-107.2.jpg")</f>
        <v>..\..\Imagery\ScannedPhotos\1984\NN84-107.2.jpg</v>
      </c>
    </row>
    <row r="3108" spans="1:13" x14ac:dyDescent="0.25">
      <c r="A3108" t="s">
        <v>7587</v>
      </c>
      <c r="B3108">
        <v>447072</v>
      </c>
      <c r="C3108">
        <v>5911734</v>
      </c>
      <c r="D3108">
        <v>21</v>
      </c>
      <c r="E3108" t="s">
        <v>15</v>
      </c>
      <c r="F3108" t="s">
        <v>7591</v>
      </c>
      <c r="G3108">
        <v>3</v>
      </c>
      <c r="H3108" t="s">
        <v>155</v>
      </c>
      <c r="I3108" t="s">
        <v>25</v>
      </c>
      <c r="J3108" t="s">
        <v>156</v>
      </c>
      <c r="K3108" t="s">
        <v>20</v>
      </c>
      <c r="L3108" t="s">
        <v>7589</v>
      </c>
      <c r="M3108" s="3" t="str">
        <f>HYPERLINK("..\..\Imagery\ScannedPhotos\1984\NN84-107.3.jpg")</f>
        <v>..\..\Imagery\ScannedPhotos\1984\NN84-107.3.jpg</v>
      </c>
    </row>
    <row r="3109" spans="1:13" x14ac:dyDescent="0.25">
      <c r="A3109" t="s">
        <v>7592</v>
      </c>
      <c r="B3109">
        <v>441973</v>
      </c>
      <c r="C3109">
        <v>5905266</v>
      </c>
      <c r="D3109">
        <v>21</v>
      </c>
      <c r="E3109" t="s">
        <v>15</v>
      </c>
      <c r="F3109" t="s">
        <v>7593</v>
      </c>
      <c r="G3109">
        <v>1</v>
      </c>
      <c r="H3109" t="s">
        <v>155</v>
      </c>
      <c r="I3109" t="s">
        <v>126</v>
      </c>
      <c r="J3109" t="s">
        <v>156</v>
      </c>
      <c r="K3109" t="s">
        <v>20</v>
      </c>
      <c r="L3109" t="s">
        <v>7594</v>
      </c>
      <c r="M3109" s="3" t="str">
        <f>HYPERLINK("..\..\Imagery\ScannedPhotos\1984\NN84-121.jpg")</f>
        <v>..\..\Imagery\ScannedPhotos\1984\NN84-121.jpg</v>
      </c>
    </row>
    <row r="3110" spans="1:13" x14ac:dyDescent="0.25">
      <c r="A3110" t="s">
        <v>7595</v>
      </c>
      <c r="B3110">
        <v>443722</v>
      </c>
      <c r="C3110">
        <v>5907479</v>
      </c>
      <c r="D3110">
        <v>21</v>
      </c>
      <c r="E3110" t="s">
        <v>15</v>
      </c>
      <c r="F3110" t="s">
        <v>7596</v>
      </c>
      <c r="G3110">
        <v>1</v>
      </c>
      <c r="H3110" t="s">
        <v>155</v>
      </c>
      <c r="I3110" t="s">
        <v>129</v>
      </c>
      <c r="J3110" t="s">
        <v>156</v>
      </c>
      <c r="K3110" t="s">
        <v>20</v>
      </c>
      <c r="L3110" t="s">
        <v>7597</v>
      </c>
      <c r="M3110" s="3" t="str">
        <f>HYPERLINK("..\..\Imagery\ScannedPhotos\1984\NN84-134.jpg")</f>
        <v>..\..\Imagery\ScannedPhotos\1984\NN84-134.jpg</v>
      </c>
    </row>
    <row r="3111" spans="1:13" x14ac:dyDescent="0.25">
      <c r="A3111" t="s">
        <v>7598</v>
      </c>
      <c r="B3111">
        <v>468650</v>
      </c>
      <c r="C3111">
        <v>5810050</v>
      </c>
      <c r="D3111">
        <v>21</v>
      </c>
      <c r="E3111" t="s">
        <v>15</v>
      </c>
      <c r="F3111" t="s">
        <v>7599</v>
      </c>
      <c r="G3111">
        <v>1</v>
      </c>
      <c r="H3111" t="s">
        <v>2344</v>
      </c>
      <c r="I3111" t="s">
        <v>85</v>
      </c>
      <c r="J3111" t="s">
        <v>2341</v>
      </c>
      <c r="K3111" t="s">
        <v>56</v>
      </c>
      <c r="L3111" t="s">
        <v>7600</v>
      </c>
      <c r="M3111" s="3" t="str">
        <f>HYPERLINK("..\..\Imagery\ScannedPhotos\1992\JA92-030.jpg")</f>
        <v>..\..\Imagery\ScannedPhotos\1992\JA92-030.jpg</v>
      </c>
    </row>
    <row r="3112" spans="1:13" x14ac:dyDescent="0.25">
      <c r="A3112" t="s">
        <v>7601</v>
      </c>
      <c r="B3112">
        <v>468769</v>
      </c>
      <c r="C3112">
        <v>5809251</v>
      </c>
      <c r="D3112">
        <v>21</v>
      </c>
      <c r="E3112" t="s">
        <v>15</v>
      </c>
      <c r="F3112" t="s">
        <v>7602</v>
      </c>
      <c r="G3112">
        <v>1</v>
      </c>
      <c r="H3112" t="s">
        <v>2344</v>
      </c>
      <c r="I3112" t="s">
        <v>375</v>
      </c>
      <c r="J3112" t="s">
        <v>2341</v>
      </c>
      <c r="K3112" t="s">
        <v>20</v>
      </c>
      <c r="L3112" t="s">
        <v>7603</v>
      </c>
      <c r="M3112" s="3" t="str">
        <f>HYPERLINK("..\..\Imagery\ScannedPhotos\1992\JA92-031.jpg")</f>
        <v>..\..\Imagery\ScannedPhotos\1992\JA92-031.jpg</v>
      </c>
    </row>
    <row r="3113" spans="1:13" x14ac:dyDescent="0.25">
      <c r="A3113" t="s">
        <v>7604</v>
      </c>
      <c r="B3113">
        <v>468700</v>
      </c>
      <c r="C3113">
        <v>5808448</v>
      </c>
      <c r="D3113">
        <v>21</v>
      </c>
      <c r="E3113" t="s">
        <v>15</v>
      </c>
      <c r="F3113" t="s">
        <v>7605</v>
      </c>
      <c r="G3113">
        <v>3</v>
      </c>
      <c r="H3113" t="s">
        <v>2344</v>
      </c>
      <c r="I3113" t="s">
        <v>386</v>
      </c>
      <c r="J3113" t="s">
        <v>2341</v>
      </c>
      <c r="K3113" t="s">
        <v>56</v>
      </c>
      <c r="L3113" t="s">
        <v>7606</v>
      </c>
      <c r="M3113" s="3" t="str">
        <f>HYPERLINK("..\..\Imagery\ScannedPhotos\1992\JA92-032.3.jpg")</f>
        <v>..\..\Imagery\ScannedPhotos\1992\JA92-032.3.jpg</v>
      </c>
    </row>
    <row r="3114" spans="1:13" x14ac:dyDescent="0.25">
      <c r="A3114" t="s">
        <v>7604</v>
      </c>
      <c r="B3114">
        <v>468700</v>
      </c>
      <c r="C3114">
        <v>5808448</v>
      </c>
      <c r="D3114">
        <v>21</v>
      </c>
      <c r="E3114" t="s">
        <v>15</v>
      </c>
      <c r="F3114" t="s">
        <v>7607</v>
      </c>
      <c r="G3114">
        <v>3</v>
      </c>
      <c r="H3114" t="s">
        <v>2344</v>
      </c>
      <c r="I3114" t="s">
        <v>94</v>
      </c>
      <c r="J3114" t="s">
        <v>2341</v>
      </c>
      <c r="K3114" t="s">
        <v>20</v>
      </c>
      <c r="L3114" t="s">
        <v>7608</v>
      </c>
      <c r="M3114" s="3" t="str">
        <f>HYPERLINK("..\..\Imagery\ScannedPhotos\1992\JA92-032.1.jpg")</f>
        <v>..\..\Imagery\ScannedPhotos\1992\JA92-032.1.jpg</v>
      </c>
    </row>
    <row r="3115" spans="1:13" x14ac:dyDescent="0.25">
      <c r="A3115" t="s">
        <v>7609</v>
      </c>
      <c r="B3115">
        <v>521985</v>
      </c>
      <c r="C3115">
        <v>5860818</v>
      </c>
      <c r="D3115">
        <v>21</v>
      </c>
      <c r="E3115" t="s">
        <v>15</v>
      </c>
      <c r="F3115" t="s">
        <v>7610</v>
      </c>
      <c r="G3115">
        <v>2</v>
      </c>
      <c r="H3115" t="s">
        <v>68</v>
      </c>
      <c r="I3115" t="s">
        <v>25</v>
      </c>
      <c r="J3115" t="s">
        <v>70</v>
      </c>
      <c r="K3115" t="s">
        <v>20</v>
      </c>
      <c r="L3115" t="s">
        <v>7611</v>
      </c>
      <c r="M3115" s="3" t="str">
        <f>HYPERLINK("..\..\Imagery\ScannedPhotos\1986\SN86-179.1.jpg")</f>
        <v>..\..\Imagery\ScannedPhotos\1986\SN86-179.1.jpg</v>
      </c>
    </row>
    <row r="3116" spans="1:13" x14ac:dyDescent="0.25">
      <c r="A3116" t="s">
        <v>7609</v>
      </c>
      <c r="B3116">
        <v>521985</v>
      </c>
      <c r="C3116">
        <v>5860818</v>
      </c>
      <c r="D3116">
        <v>21</v>
      </c>
      <c r="E3116" t="s">
        <v>15</v>
      </c>
      <c r="F3116" t="s">
        <v>7612</v>
      </c>
      <c r="G3116">
        <v>2</v>
      </c>
      <c r="H3116" t="s">
        <v>68</v>
      </c>
      <c r="I3116" t="s">
        <v>360</v>
      </c>
      <c r="J3116" t="s">
        <v>70</v>
      </c>
      <c r="K3116" t="s">
        <v>20</v>
      </c>
      <c r="L3116" t="s">
        <v>7613</v>
      </c>
      <c r="M3116" s="3" t="str">
        <f>HYPERLINK("..\..\Imagery\ScannedPhotos\1986\SN86-179.2.jpg")</f>
        <v>..\..\Imagery\ScannedPhotos\1986\SN86-179.2.jpg</v>
      </c>
    </row>
    <row r="3117" spans="1:13" x14ac:dyDescent="0.25">
      <c r="A3117" t="s">
        <v>7614</v>
      </c>
      <c r="B3117">
        <v>575164</v>
      </c>
      <c r="C3117">
        <v>5829873</v>
      </c>
      <c r="D3117">
        <v>21</v>
      </c>
      <c r="E3117" t="s">
        <v>15</v>
      </c>
      <c r="F3117" t="s">
        <v>7615</v>
      </c>
      <c r="G3117">
        <v>1</v>
      </c>
      <c r="H3117" t="s">
        <v>299</v>
      </c>
      <c r="I3117" t="s">
        <v>129</v>
      </c>
      <c r="J3117" t="s">
        <v>300</v>
      </c>
      <c r="K3117" t="s">
        <v>20</v>
      </c>
      <c r="L3117" t="s">
        <v>7616</v>
      </c>
      <c r="M3117" s="3" t="str">
        <f>HYPERLINK("..\..\Imagery\ScannedPhotos\1986\MN86-252.jpg")</f>
        <v>..\..\Imagery\ScannedPhotos\1986\MN86-252.jpg</v>
      </c>
    </row>
    <row r="3118" spans="1:13" x14ac:dyDescent="0.25">
      <c r="A3118" t="s">
        <v>2880</v>
      </c>
      <c r="B3118">
        <v>578082</v>
      </c>
      <c r="C3118">
        <v>5838162</v>
      </c>
      <c r="D3118">
        <v>21</v>
      </c>
      <c r="E3118" t="s">
        <v>15</v>
      </c>
      <c r="F3118" t="s">
        <v>7617</v>
      </c>
      <c r="G3118">
        <v>2</v>
      </c>
      <c r="H3118" t="s">
        <v>1851</v>
      </c>
      <c r="I3118" t="s">
        <v>401</v>
      </c>
      <c r="J3118" t="s">
        <v>1852</v>
      </c>
      <c r="K3118" t="s">
        <v>56</v>
      </c>
      <c r="L3118" t="s">
        <v>7618</v>
      </c>
      <c r="M3118" s="3" t="str">
        <f>HYPERLINK("..\..\Imagery\ScannedPhotos\1986\MN86-353.2.jpg")</f>
        <v>..\..\Imagery\ScannedPhotos\1986\MN86-353.2.jpg</v>
      </c>
    </row>
    <row r="3119" spans="1:13" x14ac:dyDescent="0.25">
      <c r="A3119" t="s">
        <v>7619</v>
      </c>
      <c r="B3119">
        <v>491550</v>
      </c>
      <c r="C3119">
        <v>5797907</v>
      </c>
      <c r="D3119">
        <v>21</v>
      </c>
      <c r="E3119" t="s">
        <v>15</v>
      </c>
      <c r="F3119" t="s">
        <v>7620</v>
      </c>
      <c r="G3119">
        <v>5</v>
      </c>
      <c r="H3119" t="s">
        <v>5587</v>
      </c>
      <c r="I3119" t="s">
        <v>647</v>
      </c>
      <c r="J3119" t="s">
        <v>2341</v>
      </c>
      <c r="K3119" t="s">
        <v>20</v>
      </c>
      <c r="L3119" t="s">
        <v>7621</v>
      </c>
      <c r="M3119" s="3" t="str">
        <f>HYPERLINK("..\..\Imagery\ScannedPhotos\1992\VN92-118.2.jpg")</f>
        <v>..\..\Imagery\ScannedPhotos\1992\VN92-118.2.jpg</v>
      </c>
    </row>
    <row r="3120" spans="1:13" x14ac:dyDescent="0.25">
      <c r="A3120" t="s">
        <v>3206</v>
      </c>
      <c r="B3120">
        <v>388687</v>
      </c>
      <c r="C3120">
        <v>5999998</v>
      </c>
      <c r="D3120">
        <v>21</v>
      </c>
      <c r="E3120" t="s">
        <v>15</v>
      </c>
      <c r="F3120" t="s">
        <v>7622</v>
      </c>
      <c r="G3120">
        <v>6</v>
      </c>
      <c r="H3120" t="s">
        <v>651</v>
      </c>
      <c r="I3120" t="s">
        <v>360</v>
      </c>
      <c r="J3120" t="s">
        <v>652</v>
      </c>
      <c r="K3120" t="s">
        <v>20</v>
      </c>
      <c r="L3120" t="s">
        <v>4861</v>
      </c>
      <c r="M3120" s="3" t="str">
        <f>HYPERLINK("..\..\Imagery\ScannedPhotos\1980\NN80-058.6.jpg")</f>
        <v>..\..\Imagery\ScannedPhotos\1980\NN80-058.6.jpg</v>
      </c>
    </row>
    <row r="3121" spans="1:13" x14ac:dyDescent="0.25">
      <c r="A3121" t="s">
        <v>3206</v>
      </c>
      <c r="B3121">
        <v>388687</v>
      </c>
      <c r="C3121">
        <v>5999998</v>
      </c>
      <c r="D3121">
        <v>21</v>
      </c>
      <c r="E3121" t="s">
        <v>15</v>
      </c>
      <c r="F3121" t="s">
        <v>7623</v>
      </c>
      <c r="G3121">
        <v>6</v>
      </c>
      <c r="H3121" t="s">
        <v>651</v>
      </c>
      <c r="I3121" t="s">
        <v>195</v>
      </c>
      <c r="J3121" t="s">
        <v>652</v>
      </c>
      <c r="K3121" t="s">
        <v>20</v>
      </c>
      <c r="L3121" t="s">
        <v>7624</v>
      </c>
      <c r="M3121" s="3" t="str">
        <f>HYPERLINK("..\..\Imagery\ScannedPhotos\1980\NN80-058.4.jpg")</f>
        <v>..\..\Imagery\ScannedPhotos\1980\NN80-058.4.jpg</v>
      </c>
    </row>
    <row r="3122" spans="1:13" x14ac:dyDescent="0.25">
      <c r="A3122" t="s">
        <v>3896</v>
      </c>
      <c r="B3122">
        <v>515859</v>
      </c>
      <c r="C3122">
        <v>5890443</v>
      </c>
      <c r="D3122">
        <v>21</v>
      </c>
      <c r="E3122" t="s">
        <v>15</v>
      </c>
      <c r="F3122" t="s">
        <v>7625</v>
      </c>
      <c r="G3122">
        <v>6</v>
      </c>
      <c r="H3122" t="s">
        <v>2459</v>
      </c>
      <c r="I3122" t="s">
        <v>401</v>
      </c>
      <c r="J3122" t="s">
        <v>2247</v>
      </c>
      <c r="K3122" t="s">
        <v>228</v>
      </c>
      <c r="L3122" t="s">
        <v>7626</v>
      </c>
      <c r="M3122" s="3" t="str">
        <f>HYPERLINK("..\..\Imagery\ScannedPhotos\1985\CG85-145.6.jpg")</f>
        <v>..\..\Imagery\ScannedPhotos\1985\CG85-145.6.jpg</v>
      </c>
    </row>
    <row r="3123" spans="1:13" x14ac:dyDescent="0.25">
      <c r="A3123" t="s">
        <v>7627</v>
      </c>
      <c r="B3123">
        <v>468283</v>
      </c>
      <c r="C3123">
        <v>5820924</v>
      </c>
      <c r="D3123">
        <v>21</v>
      </c>
      <c r="E3123" t="s">
        <v>15</v>
      </c>
      <c r="F3123" t="s">
        <v>7628</v>
      </c>
      <c r="G3123">
        <v>2</v>
      </c>
      <c r="H3123" t="s">
        <v>412</v>
      </c>
      <c r="I3123" t="s">
        <v>217</v>
      </c>
      <c r="J3123" t="s">
        <v>413</v>
      </c>
      <c r="K3123" t="s">
        <v>56</v>
      </c>
      <c r="L3123" t="s">
        <v>322</v>
      </c>
      <c r="M3123" s="3" t="str">
        <f>HYPERLINK("..\..\Imagery\ScannedPhotos\1991\DD91-091.1.jpg")</f>
        <v>..\..\Imagery\ScannedPhotos\1991\DD91-091.1.jpg</v>
      </c>
    </row>
    <row r="3124" spans="1:13" x14ac:dyDescent="0.25">
      <c r="A3124" t="s">
        <v>5814</v>
      </c>
      <c r="B3124">
        <v>579798</v>
      </c>
      <c r="C3124">
        <v>5764153</v>
      </c>
      <c r="D3124">
        <v>21</v>
      </c>
      <c r="E3124" t="s">
        <v>15</v>
      </c>
      <c r="F3124" t="s">
        <v>7629</v>
      </c>
      <c r="G3124">
        <v>3</v>
      </c>
      <c r="H3124" t="s">
        <v>2916</v>
      </c>
      <c r="I3124" t="s">
        <v>119</v>
      </c>
      <c r="J3124" t="s">
        <v>797</v>
      </c>
      <c r="K3124" t="s">
        <v>20</v>
      </c>
      <c r="L3124" t="s">
        <v>7630</v>
      </c>
      <c r="M3124" s="3" t="str">
        <f>HYPERLINK("..\..\Imagery\ScannedPhotos\1987\VN87-328.1.jpg")</f>
        <v>..\..\Imagery\ScannedPhotos\1987\VN87-328.1.jpg</v>
      </c>
    </row>
    <row r="3125" spans="1:13" x14ac:dyDescent="0.25">
      <c r="A3125" t="s">
        <v>7244</v>
      </c>
      <c r="B3125">
        <v>554290</v>
      </c>
      <c r="C3125">
        <v>5737370</v>
      </c>
      <c r="D3125">
        <v>21</v>
      </c>
      <c r="E3125" t="s">
        <v>15</v>
      </c>
      <c r="F3125" t="s">
        <v>7631</v>
      </c>
      <c r="G3125">
        <v>2</v>
      </c>
      <c r="H3125" t="s">
        <v>6322</v>
      </c>
      <c r="I3125" t="s">
        <v>137</v>
      </c>
      <c r="J3125" t="s">
        <v>996</v>
      </c>
      <c r="K3125" t="s">
        <v>56</v>
      </c>
      <c r="L3125" t="s">
        <v>7632</v>
      </c>
      <c r="M3125" s="3" t="str">
        <f>HYPERLINK("..\..\Imagery\ScannedPhotos\1993\VN93-334.2.jpg")</f>
        <v>..\..\Imagery\ScannedPhotos\1993\VN93-334.2.jpg</v>
      </c>
    </row>
    <row r="3126" spans="1:13" x14ac:dyDescent="0.25">
      <c r="A3126" t="s">
        <v>7633</v>
      </c>
      <c r="B3126">
        <v>578323</v>
      </c>
      <c r="C3126">
        <v>5916920</v>
      </c>
      <c r="D3126">
        <v>21</v>
      </c>
      <c r="E3126" t="s">
        <v>15</v>
      </c>
      <c r="F3126" t="s">
        <v>7634</v>
      </c>
      <c r="G3126">
        <v>1</v>
      </c>
      <c r="H3126" t="s">
        <v>2855</v>
      </c>
      <c r="I3126" t="s">
        <v>65</v>
      </c>
      <c r="J3126" t="s">
        <v>1583</v>
      </c>
      <c r="K3126" t="s">
        <v>20</v>
      </c>
      <c r="L3126" t="s">
        <v>7635</v>
      </c>
      <c r="M3126" s="3" t="str">
        <f>HYPERLINK("..\..\Imagery\ScannedPhotos\1985\CG85-613.jpg")</f>
        <v>..\..\Imagery\ScannedPhotos\1985\CG85-613.jpg</v>
      </c>
    </row>
    <row r="3127" spans="1:13" x14ac:dyDescent="0.25">
      <c r="A3127" t="s">
        <v>4431</v>
      </c>
      <c r="B3127">
        <v>580871</v>
      </c>
      <c r="C3127">
        <v>5925442</v>
      </c>
      <c r="D3127">
        <v>21</v>
      </c>
      <c r="E3127" t="s">
        <v>15</v>
      </c>
      <c r="F3127" t="s">
        <v>7636</v>
      </c>
      <c r="G3127">
        <v>3</v>
      </c>
      <c r="H3127" t="s">
        <v>1378</v>
      </c>
      <c r="I3127" t="s">
        <v>294</v>
      </c>
      <c r="J3127" t="s">
        <v>628</v>
      </c>
      <c r="K3127" t="s">
        <v>20</v>
      </c>
      <c r="L3127" t="s">
        <v>2720</v>
      </c>
      <c r="M3127" s="3" t="str">
        <f>HYPERLINK("..\..\Imagery\ScannedPhotos\1985\CG85-614.1.jpg")</f>
        <v>..\..\Imagery\ScannedPhotos\1985\CG85-614.1.jpg</v>
      </c>
    </row>
    <row r="3128" spans="1:13" x14ac:dyDescent="0.25">
      <c r="A3128" t="s">
        <v>7637</v>
      </c>
      <c r="B3128">
        <v>478338</v>
      </c>
      <c r="C3128">
        <v>5933025</v>
      </c>
      <c r="D3128">
        <v>21</v>
      </c>
      <c r="E3128" t="s">
        <v>15</v>
      </c>
      <c r="F3128" t="s">
        <v>7638</v>
      </c>
      <c r="G3128">
        <v>1</v>
      </c>
      <c r="H3128" t="s">
        <v>107</v>
      </c>
      <c r="I3128" t="s">
        <v>41</v>
      </c>
      <c r="J3128" t="s">
        <v>48</v>
      </c>
      <c r="K3128" t="s">
        <v>20</v>
      </c>
      <c r="L3128" t="s">
        <v>1568</v>
      </c>
      <c r="M3128" s="3" t="str">
        <f>HYPERLINK("..\..\Imagery\ScannedPhotos\1981\CG81-155.jpg")</f>
        <v>..\..\Imagery\ScannedPhotos\1981\CG81-155.jpg</v>
      </c>
    </row>
    <row r="3129" spans="1:13" x14ac:dyDescent="0.25">
      <c r="A3129" t="s">
        <v>7639</v>
      </c>
      <c r="B3129">
        <v>585422</v>
      </c>
      <c r="C3129">
        <v>5825274</v>
      </c>
      <c r="D3129">
        <v>21</v>
      </c>
      <c r="E3129" t="s">
        <v>15</v>
      </c>
      <c r="F3129" t="s">
        <v>7640</v>
      </c>
      <c r="G3129">
        <v>1</v>
      </c>
      <c r="H3129" t="s">
        <v>99</v>
      </c>
      <c r="I3129" t="s">
        <v>132</v>
      </c>
      <c r="J3129" t="s">
        <v>100</v>
      </c>
      <c r="K3129" t="s">
        <v>20</v>
      </c>
      <c r="L3129" t="s">
        <v>7641</v>
      </c>
      <c r="M3129" s="3" t="str">
        <f>HYPERLINK("..\..\Imagery\ScannedPhotos\1986\MN86-420.jpg")</f>
        <v>..\..\Imagery\ScannedPhotos\1986\MN86-420.jpg</v>
      </c>
    </row>
    <row r="3130" spans="1:13" x14ac:dyDescent="0.25">
      <c r="A3130" t="s">
        <v>7642</v>
      </c>
      <c r="B3130">
        <v>580455</v>
      </c>
      <c r="C3130">
        <v>5826615</v>
      </c>
      <c r="D3130">
        <v>21</v>
      </c>
      <c r="E3130" t="s">
        <v>15</v>
      </c>
      <c r="F3130" t="s">
        <v>7643</v>
      </c>
      <c r="G3130">
        <v>1</v>
      </c>
      <c r="H3130" t="s">
        <v>99</v>
      </c>
      <c r="I3130" t="s">
        <v>143</v>
      </c>
      <c r="J3130" t="s">
        <v>100</v>
      </c>
      <c r="K3130" t="s">
        <v>20</v>
      </c>
      <c r="L3130" t="s">
        <v>1020</v>
      </c>
      <c r="M3130" s="3" t="str">
        <f>HYPERLINK("..\..\Imagery\ScannedPhotos\1986\MN86-424.jpg")</f>
        <v>..\..\Imagery\ScannedPhotos\1986\MN86-424.jpg</v>
      </c>
    </row>
    <row r="3131" spans="1:13" x14ac:dyDescent="0.25">
      <c r="A3131" t="s">
        <v>7644</v>
      </c>
      <c r="B3131">
        <v>581783</v>
      </c>
      <c r="C3131">
        <v>5826201</v>
      </c>
      <c r="D3131">
        <v>21</v>
      </c>
      <c r="E3131" t="s">
        <v>15</v>
      </c>
      <c r="F3131" t="s">
        <v>7645</v>
      </c>
      <c r="G3131">
        <v>1</v>
      </c>
      <c r="H3131" t="s">
        <v>99</v>
      </c>
      <c r="I3131" t="s">
        <v>147</v>
      </c>
      <c r="J3131" t="s">
        <v>100</v>
      </c>
      <c r="K3131" t="s">
        <v>20</v>
      </c>
      <c r="L3131" t="s">
        <v>7646</v>
      </c>
      <c r="M3131" s="3" t="str">
        <f>HYPERLINK("..\..\Imagery\ScannedPhotos\1986\MN86-426.jpg")</f>
        <v>..\..\Imagery\ScannedPhotos\1986\MN86-426.jpg</v>
      </c>
    </row>
    <row r="3132" spans="1:13" x14ac:dyDescent="0.25">
      <c r="A3132" t="s">
        <v>7647</v>
      </c>
      <c r="B3132">
        <v>578078</v>
      </c>
      <c r="C3132">
        <v>5862217</v>
      </c>
      <c r="D3132">
        <v>21</v>
      </c>
      <c r="E3132" t="s">
        <v>15</v>
      </c>
      <c r="F3132" t="s">
        <v>7648</v>
      </c>
      <c r="G3132">
        <v>3</v>
      </c>
      <c r="H3132" t="s">
        <v>874</v>
      </c>
      <c r="I3132" t="s">
        <v>375</v>
      </c>
      <c r="J3132" t="s">
        <v>300</v>
      </c>
      <c r="K3132" t="s">
        <v>20</v>
      </c>
      <c r="L3132" t="s">
        <v>7649</v>
      </c>
      <c r="M3132" s="3" t="str">
        <f>HYPERLINK("..\..\Imagery\ScannedPhotos\1986\SN86-310.3.jpg")</f>
        <v>..\..\Imagery\ScannedPhotos\1986\SN86-310.3.jpg</v>
      </c>
    </row>
    <row r="3133" spans="1:13" x14ac:dyDescent="0.25">
      <c r="A3133" t="s">
        <v>5135</v>
      </c>
      <c r="B3133">
        <v>381949</v>
      </c>
      <c r="C3133">
        <v>5989748</v>
      </c>
      <c r="D3133">
        <v>21</v>
      </c>
      <c r="E3133" t="s">
        <v>15</v>
      </c>
      <c r="F3133" t="s">
        <v>7650</v>
      </c>
      <c r="G3133">
        <v>4</v>
      </c>
      <c r="H3133" t="s">
        <v>268</v>
      </c>
      <c r="I3133" t="s">
        <v>25</v>
      </c>
      <c r="J3133" t="s">
        <v>269</v>
      </c>
      <c r="K3133" t="s">
        <v>56</v>
      </c>
      <c r="L3133" t="s">
        <v>3995</v>
      </c>
      <c r="M3133" s="3" t="str">
        <f>HYPERLINK("..\..\Imagery\ScannedPhotos\1980\CG80-585.3.jpg")</f>
        <v>..\..\Imagery\ScannedPhotos\1980\CG80-585.3.jpg</v>
      </c>
    </row>
    <row r="3134" spans="1:13" x14ac:dyDescent="0.25">
      <c r="A3134" t="s">
        <v>5135</v>
      </c>
      <c r="B3134">
        <v>381949</v>
      </c>
      <c r="C3134">
        <v>5989748</v>
      </c>
      <c r="D3134">
        <v>21</v>
      </c>
      <c r="E3134" t="s">
        <v>15</v>
      </c>
      <c r="F3134" t="s">
        <v>7651</v>
      </c>
      <c r="G3134">
        <v>4</v>
      </c>
      <c r="H3134" t="s">
        <v>268</v>
      </c>
      <c r="I3134" t="s">
        <v>360</v>
      </c>
      <c r="J3134" t="s">
        <v>269</v>
      </c>
      <c r="K3134" t="s">
        <v>56</v>
      </c>
      <c r="L3134" t="s">
        <v>3995</v>
      </c>
      <c r="M3134" s="3" t="str">
        <f>HYPERLINK("..\..\Imagery\ScannedPhotos\1980\CG80-585.4.jpg")</f>
        <v>..\..\Imagery\ScannedPhotos\1980\CG80-585.4.jpg</v>
      </c>
    </row>
    <row r="3135" spans="1:13" x14ac:dyDescent="0.25">
      <c r="A3135" t="s">
        <v>7652</v>
      </c>
      <c r="B3135">
        <v>567102</v>
      </c>
      <c r="C3135">
        <v>5791029</v>
      </c>
      <c r="D3135">
        <v>21</v>
      </c>
      <c r="E3135" t="s">
        <v>15</v>
      </c>
      <c r="F3135" t="s">
        <v>7653</v>
      </c>
      <c r="G3135">
        <v>1</v>
      </c>
      <c r="H3135" t="s">
        <v>5918</v>
      </c>
      <c r="I3135" t="s">
        <v>147</v>
      </c>
      <c r="J3135" t="s">
        <v>1619</v>
      </c>
      <c r="K3135" t="s">
        <v>20</v>
      </c>
      <c r="L3135" t="s">
        <v>116</v>
      </c>
      <c r="M3135" s="3" t="str">
        <f>HYPERLINK("..\..\Imagery\ScannedPhotos\1987\VN87-209.jpg")</f>
        <v>..\..\Imagery\ScannedPhotos\1987\VN87-209.jpg</v>
      </c>
    </row>
    <row r="3136" spans="1:13" x14ac:dyDescent="0.25">
      <c r="A3136" t="s">
        <v>6599</v>
      </c>
      <c r="B3136">
        <v>473533</v>
      </c>
      <c r="C3136">
        <v>5806877</v>
      </c>
      <c r="D3136">
        <v>21</v>
      </c>
      <c r="E3136" t="s">
        <v>15</v>
      </c>
      <c r="F3136" t="s">
        <v>7654</v>
      </c>
      <c r="G3136">
        <v>2</v>
      </c>
      <c r="H3136" t="s">
        <v>5587</v>
      </c>
      <c r="I3136" t="s">
        <v>281</v>
      </c>
      <c r="J3136" t="s">
        <v>2341</v>
      </c>
      <c r="K3136" t="s">
        <v>56</v>
      </c>
      <c r="L3136" t="s">
        <v>6601</v>
      </c>
      <c r="M3136" s="3" t="str">
        <f>HYPERLINK("..\..\Imagery\ScannedPhotos\1992\VN92-097.2.jpg")</f>
        <v>..\..\Imagery\ScannedPhotos\1992\VN92-097.2.jpg</v>
      </c>
    </row>
    <row r="3137" spans="1:14" x14ac:dyDescent="0.25">
      <c r="A3137" t="s">
        <v>7655</v>
      </c>
      <c r="B3137">
        <v>470366</v>
      </c>
      <c r="C3137">
        <v>6004345</v>
      </c>
      <c r="D3137">
        <v>21</v>
      </c>
      <c r="E3137" t="s">
        <v>15</v>
      </c>
      <c r="F3137" t="s">
        <v>7656</v>
      </c>
      <c r="G3137">
        <v>2</v>
      </c>
      <c r="H3137" t="s">
        <v>1326</v>
      </c>
      <c r="I3137" t="s">
        <v>375</v>
      </c>
      <c r="J3137" t="s">
        <v>95</v>
      </c>
      <c r="K3137" t="s">
        <v>20</v>
      </c>
      <c r="L3137" t="s">
        <v>7657</v>
      </c>
      <c r="M3137" s="3" t="str">
        <f>HYPERLINK("..\..\Imagery\ScannedPhotos\1980\CG80-346.1.jpg")</f>
        <v>..\..\Imagery\ScannedPhotos\1980\CG80-346.1.jpg</v>
      </c>
    </row>
    <row r="3138" spans="1:14" x14ac:dyDescent="0.25">
      <c r="A3138" t="s">
        <v>7655</v>
      </c>
      <c r="B3138">
        <v>470366</v>
      </c>
      <c r="C3138">
        <v>6004345</v>
      </c>
      <c r="D3138">
        <v>21</v>
      </c>
      <c r="E3138" t="s">
        <v>15</v>
      </c>
      <c r="F3138" t="s">
        <v>7658</v>
      </c>
      <c r="G3138">
        <v>2</v>
      </c>
      <c r="H3138" t="s">
        <v>5650</v>
      </c>
      <c r="I3138" t="s">
        <v>217</v>
      </c>
      <c r="J3138" t="s">
        <v>5651</v>
      </c>
      <c r="K3138" t="s">
        <v>20</v>
      </c>
      <c r="L3138" t="s">
        <v>7659</v>
      </c>
      <c r="M3138" s="3" t="str">
        <f>HYPERLINK("..\..\Imagery\ScannedPhotos\1980\CG80-346.2.jpg")</f>
        <v>..\..\Imagery\ScannedPhotos\1980\CG80-346.2.jpg</v>
      </c>
    </row>
    <row r="3139" spans="1:14" x14ac:dyDescent="0.25">
      <c r="A3139" t="s">
        <v>7660</v>
      </c>
      <c r="B3139">
        <v>471076</v>
      </c>
      <c r="C3139">
        <v>6004606</v>
      </c>
      <c r="D3139">
        <v>21</v>
      </c>
      <c r="E3139" t="s">
        <v>15</v>
      </c>
      <c r="F3139" t="s">
        <v>7661</v>
      </c>
      <c r="G3139">
        <v>5</v>
      </c>
      <c r="H3139" t="s">
        <v>806</v>
      </c>
      <c r="I3139" t="s">
        <v>25</v>
      </c>
      <c r="J3139" t="s">
        <v>807</v>
      </c>
      <c r="K3139" t="s">
        <v>20</v>
      </c>
      <c r="L3139" t="s">
        <v>7662</v>
      </c>
      <c r="M3139" s="3" t="str">
        <f>HYPERLINK("..\..\Imagery\ScannedPhotos\1980\CG80-348.5.jpg")</f>
        <v>..\..\Imagery\ScannedPhotos\1980\CG80-348.5.jpg</v>
      </c>
    </row>
    <row r="3140" spans="1:14" x14ac:dyDescent="0.25">
      <c r="A3140" t="s">
        <v>3663</v>
      </c>
      <c r="B3140">
        <v>498189</v>
      </c>
      <c r="C3140">
        <v>5966621</v>
      </c>
      <c r="D3140">
        <v>21</v>
      </c>
      <c r="E3140" t="s">
        <v>15</v>
      </c>
      <c r="F3140" t="s">
        <v>7663</v>
      </c>
      <c r="G3140">
        <v>3</v>
      </c>
      <c r="H3140" t="s">
        <v>1964</v>
      </c>
      <c r="I3140" t="s">
        <v>147</v>
      </c>
      <c r="J3140" t="s">
        <v>1965</v>
      </c>
      <c r="K3140" t="s">
        <v>20</v>
      </c>
      <c r="L3140" t="s">
        <v>3665</v>
      </c>
      <c r="M3140" s="3" t="str">
        <f>HYPERLINK("..\..\Imagery\ScannedPhotos\1977\MC77-237.3.jpg")</f>
        <v>..\..\Imagery\ScannedPhotos\1977\MC77-237.3.jpg</v>
      </c>
    </row>
    <row r="3141" spans="1:14" x14ac:dyDescent="0.25">
      <c r="A3141" t="s">
        <v>7664</v>
      </c>
      <c r="B3141">
        <v>569178</v>
      </c>
      <c r="C3141">
        <v>5827338</v>
      </c>
      <c r="D3141">
        <v>21</v>
      </c>
      <c r="E3141" t="s">
        <v>15</v>
      </c>
      <c r="F3141" t="s">
        <v>7665</v>
      </c>
      <c r="G3141">
        <v>1</v>
      </c>
      <c r="H3141" t="s">
        <v>3303</v>
      </c>
      <c r="I3141" t="s">
        <v>195</v>
      </c>
      <c r="J3141" t="s">
        <v>300</v>
      </c>
      <c r="K3141" t="s">
        <v>20</v>
      </c>
      <c r="L3141" t="s">
        <v>7666</v>
      </c>
      <c r="M3141" s="3" t="str">
        <f>HYPERLINK("..\..\Imagery\ScannedPhotos\1986\SN86-221.jpg")</f>
        <v>..\..\Imagery\ScannedPhotos\1986\SN86-221.jpg</v>
      </c>
    </row>
    <row r="3142" spans="1:14" x14ac:dyDescent="0.25">
      <c r="A3142" t="s">
        <v>7667</v>
      </c>
      <c r="B3142">
        <v>564640</v>
      </c>
      <c r="C3142">
        <v>5870736</v>
      </c>
      <c r="D3142">
        <v>21</v>
      </c>
      <c r="E3142" t="s">
        <v>15</v>
      </c>
      <c r="F3142" t="s">
        <v>7668</v>
      </c>
      <c r="G3142">
        <v>3</v>
      </c>
      <c r="H3142" t="s">
        <v>201</v>
      </c>
      <c r="I3142" t="s">
        <v>94</v>
      </c>
      <c r="J3142" t="s">
        <v>202</v>
      </c>
      <c r="K3142" t="s">
        <v>228</v>
      </c>
      <c r="L3142" t="s">
        <v>7669</v>
      </c>
      <c r="M3142" s="3" t="str">
        <f>HYPERLINK("..\..\Imagery\ScannedPhotos\1986\CG86-115.2.jpg")</f>
        <v>..\..\Imagery\ScannedPhotos\1986\CG86-115.2.jpg</v>
      </c>
    </row>
    <row r="3143" spans="1:14" x14ac:dyDescent="0.25">
      <c r="A3143" t="s">
        <v>3582</v>
      </c>
      <c r="B3143">
        <v>445751</v>
      </c>
      <c r="C3143">
        <v>5768227</v>
      </c>
      <c r="D3143">
        <v>21</v>
      </c>
      <c r="E3143" t="s">
        <v>15</v>
      </c>
      <c r="F3143" t="s">
        <v>7670</v>
      </c>
      <c r="G3143">
        <v>2</v>
      </c>
      <c r="H3143" t="s">
        <v>1107</v>
      </c>
      <c r="I3143" t="s">
        <v>119</v>
      </c>
      <c r="J3143" t="s">
        <v>747</v>
      </c>
      <c r="K3143" t="s">
        <v>228</v>
      </c>
      <c r="L3143" t="s">
        <v>7671</v>
      </c>
      <c r="M3143" s="3" t="str">
        <f>HYPERLINK("..\..\Imagery\ScannedPhotos\1992\CG92-151.2E.jpg")</f>
        <v>..\..\Imagery\ScannedPhotos\1992\CG92-151.2E.jpg</v>
      </c>
      <c r="N3143" t="s">
        <v>1808</v>
      </c>
    </row>
    <row r="3144" spans="1:14" x14ac:dyDescent="0.25">
      <c r="A3144" t="s">
        <v>7672</v>
      </c>
      <c r="B3144">
        <v>398443</v>
      </c>
      <c r="C3144">
        <v>5990675</v>
      </c>
      <c r="D3144">
        <v>21</v>
      </c>
      <c r="E3144" t="s">
        <v>15</v>
      </c>
      <c r="F3144" t="s">
        <v>7673</v>
      </c>
      <c r="G3144">
        <v>1</v>
      </c>
      <c r="H3144" t="s">
        <v>1133</v>
      </c>
      <c r="I3144" t="s">
        <v>222</v>
      </c>
      <c r="J3144" t="s">
        <v>623</v>
      </c>
      <c r="K3144" t="s">
        <v>20</v>
      </c>
      <c r="L3144" t="s">
        <v>4030</v>
      </c>
      <c r="M3144" s="3" t="str">
        <f>HYPERLINK("..\..\Imagery\ScannedPhotos\1980\CG80-190.jpg")</f>
        <v>..\..\Imagery\ScannedPhotos\1980\CG80-190.jpg</v>
      </c>
    </row>
    <row r="3145" spans="1:14" x14ac:dyDescent="0.25">
      <c r="A3145" t="s">
        <v>7674</v>
      </c>
      <c r="B3145">
        <v>338951</v>
      </c>
      <c r="C3145">
        <v>5863159</v>
      </c>
      <c r="D3145">
        <v>21</v>
      </c>
      <c r="E3145" t="s">
        <v>15</v>
      </c>
      <c r="F3145" t="s">
        <v>7675</v>
      </c>
      <c r="G3145">
        <v>1</v>
      </c>
      <c r="H3145" t="s">
        <v>259</v>
      </c>
      <c r="I3145" t="s">
        <v>94</v>
      </c>
      <c r="J3145" t="s">
        <v>260</v>
      </c>
      <c r="K3145" t="s">
        <v>56</v>
      </c>
      <c r="L3145" t="s">
        <v>7676</v>
      </c>
      <c r="M3145" s="3" t="str">
        <f>HYPERLINK("..\..\Imagery\ScannedPhotos\1998\CG98-054.jpg")</f>
        <v>..\..\Imagery\ScannedPhotos\1998\CG98-054.jpg</v>
      </c>
    </row>
    <row r="3146" spans="1:14" x14ac:dyDescent="0.25">
      <c r="A3146" t="s">
        <v>7677</v>
      </c>
      <c r="B3146">
        <v>361368</v>
      </c>
      <c r="C3146">
        <v>5859933</v>
      </c>
      <c r="D3146">
        <v>21</v>
      </c>
      <c r="E3146" t="s">
        <v>15</v>
      </c>
      <c r="F3146" t="s">
        <v>7678</v>
      </c>
      <c r="G3146">
        <v>1</v>
      </c>
      <c r="H3146" t="s">
        <v>259</v>
      </c>
      <c r="I3146" t="s">
        <v>209</v>
      </c>
      <c r="J3146" t="s">
        <v>260</v>
      </c>
      <c r="K3146" t="s">
        <v>56</v>
      </c>
      <c r="L3146" t="s">
        <v>7679</v>
      </c>
      <c r="M3146" s="3" t="str">
        <f>HYPERLINK("..\..\Imagery\ScannedPhotos\1998\CG98-063.jpg")</f>
        <v>..\..\Imagery\ScannedPhotos\1998\CG98-063.jpg</v>
      </c>
    </row>
    <row r="3147" spans="1:14" x14ac:dyDescent="0.25">
      <c r="A3147" t="s">
        <v>7680</v>
      </c>
      <c r="B3147">
        <v>301381</v>
      </c>
      <c r="C3147">
        <v>5871415</v>
      </c>
      <c r="D3147">
        <v>21</v>
      </c>
      <c r="E3147" t="s">
        <v>15</v>
      </c>
      <c r="F3147" t="s">
        <v>7681</v>
      </c>
      <c r="G3147">
        <v>1</v>
      </c>
      <c r="H3147" t="s">
        <v>259</v>
      </c>
      <c r="I3147" t="s">
        <v>386</v>
      </c>
      <c r="J3147" t="s">
        <v>260</v>
      </c>
      <c r="K3147" t="s">
        <v>56</v>
      </c>
      <c r="L3147" t="s">
        <v>7682</v>
      </c>
      <c r="M3147" s="3" t="str">
        <f>HYPERLINK("..\..\Imagery\ScannedPhotos\1998\CG98-076.jpg")</f>
        <v>..\..\Imagery\ScannedPhotos\1998\CG98-076.jpg</v>
      </c>
    </row>
    <row r="3148" spans="1:14" x14ac:dyDescent="0.25">
      <c r="A3148" t="s">
        <v>7683</v>
      </c>
      <c r="B3148">
        <v>312728</v>
      </c>
      <c r="C3148">
        <v>5867440</v>
      </c>
      <c r="D3148">
        <v>21</v>
      </c>
      <c r="E3148" t="s">
        <v>15</v>
      </c>
      <c r="F3148" t="s">
        <v>7684</v>
      </c>
      <c r="G3148">
        <v>1</v>
      </c>
      <c r="H3148" t="s">
        <v>259</v>
      </c>
      <c r="I3148" t="s">
        <v>217</v>
      </c>
      <c r="J3148" t="s">
        <v>260</v>
      </c>
      <c r="K3148" t="s">
        <v>56</v>
      </c>
      <c r="L3148" t="s">
        <v>7685</v>
      </c>
      <c r="M3148" s="3" t="str">
        <f>HYPERLINK("..\..\Imagery\ScannedPhotos\1998\CG98-080.jpg")</f>
        <v>..\..\Imagery\ScannedPhotos\1998\CG98-080.jpg</v>
      </c>
    </row>
    <row r="3149" spans="1:14" x14ac:dyDescent="0.25">
      <c r="A3149" t="s">
        <v>7686</v>
      </c>
      <c r="B3149">
        <v>319184</v>
      </c>
      <c r="C3149">
        <v>5867053</v>
      </c>
      <c r="D3149">
        <v>21</v>
      </c>
      <c r="E3149" t="s">
        <v>15</v>
      </c>
      <c r="F3149" t="s">
        <v>7687</v>
      </c>
      <c r="G3149">
        <v>1</v>
      </c>
      <c r="H3149" t="s">
        <v>259</v>
      </c>
      <c r="I3149" t="s">
        <v>214</v>
      </c>
      <c r="J3149" t="s">
        <v>260</v>
      </c>
      <c r="K3149" t="s">
        <v>56</v>
      </c>
      <c r="L3149" t="s">
        <v>7688</v>
      </c>
      <c r="M3149" s="3" t="str">
        <f>HYPERLINK("..\..\Imagery\ScannedPhotos\1998\CG98-082.jpg")</f>
        <v>..\..\Imagery\ScannedPhotos\1998\CG98-082.jpg</v>
      </c>
    </row>
    <row r="3150" spans="1:14" x14ac:dyDescent="0.25">
      <c r="A3150" t="s">
        <v>6167</v>
      </c>
      <c r="B3150">
        <v>335193</v>
      </c>
      <c r="C3150">
        <v>5859151</v>
      </c>
      <c r="D3150">
        <v>21</v>
      </c>
      <c r="E3150" t="s">
        <v>15</v>
      </c>
      <c r="F3150" t="s">
        <v>7689</v>
      </c>
      <c r="G3150">
        <v>5</v>
      </c>
      <c r="H3150" t="s">
        <v>259</v>
      </c>
      <c r="I3150" t="s">
        <v>195</v>
      </c>
      <c r="J3150" t="s">
        <v>260</v>
      </c>
      <c r="K3150" t="s">
        <v>228</v>
      </c>
      <c r="L3150" t="s">
        <v>6169</v>
      </c>
      <c r="M3150" s="3" t="str">
        <f>HYPERLINK("..\..\Imagery\ScannedPhotos\1998\CG98-098.3.jpg")</f>
        <v>..\..\Imagery\ScannedPhotos\1998\CG98-098.3.jpg</v>
      </c>
    </row>
    <row r="3151" spans="1:14" x14ac:dyDescent="0.25">
      <c r="A3151" t="s">
        <v>6167</v>
      </c>
      <c r="B3151">
        <v>335193</v>
      </c>
      <c r="C3151">
        <v>5859151</v>
      </c>
      <c r="D3151">
        <v>21</v>
      </c>
      <c r="E3151" t="s">
        <v>15</v>
      </c>
      <c r="F3151" t="s">
        <v>7690</v>
      </c>
      <c r="G3151">
        <v>5</v>
      </c>
      <c r="H3151" t="s">
        <v>259</v>
      </c>
      <c r="I3151" t="s">
        <v>304</v>
      </c>
      <c r="J3151" t="s">
        <v>260</v>
      </c>
      <c r="K3151" t="s">
        <v>56</v>
      </c>
      <c r="L3151" t="s">
        <v>7691</v>
      </c>
      <c r="M3151" s="3" t="str">
        <f>HYPERLINK("..\..\Imagery\ScannedPhotos\1998\CG98-098.2.jpg")</f>
        <v>..\..\Imagery\ScannedPhotos\1998\CG98-098.2.jpg</v>
      </c>
    </row>
    <row r="3152" spans="1:14" x14ac:dyDescent="0.25">
      <c r="A3152" t="s">
        <v>7692</v>
      </c>
      <c r="B3152">
        <v>539695</v>
      </c>
      <c r="C3152">
        <v>5826194</v>
      </c>
      <c r="D3152">
        <v>21</v>
      </c>
      <c r="E3152" t="s">
        <v>15</v>
      </c>
      <c r="F3152" t="s">
        <v>7693</v>
      </c>
      <c r="G3152">
        <v>2</v>
      </c>
      <c r="H3152" t="s">
        <v>2325</v>
      </c>
      <c r="I3152" t="s">
        <v>304</v>
      </c>
      <c r="J3152" t="s">
        <v>2019</v>
      </c>
      <c r="K3152" t="s">
        <v>20</v>
      </c>
      <c r="L3152" t="s">
        <v>7694</v>
      </c>
      <c r="M3152" s="3" t="str">
        <f>HYPERLINK("..\..\Imagery\ScannedPhotos\1986\MN86-041.2.jpg")</f>
        <v>..\..\Imagery\ScannedPhotos\1986\MN86-041.2.jpg</v>
      </c>
    </row>
    <row r="3153" spans="1:13" x14ac:dyDescent="0.25">
      <c r="A3153" t="s">
        <v>7692</v>
      </c>
      <c r="B3153">
        <v>539695</v>
      </c>
      <c r="C3153">
        <v>5826194</v>
      </c>
      <c r="D3153">
        <v>21</v>
      </c>
      <c r="E3153" t="s">
        <v>15</v>
      </c>
      <c r="F3153" t="s">
        <v>7695</v>
      </c>
      <c r="G3153">
        <v>2</v>
      </c>
      <c r="H3153" t="s">
        <v>2325</v>
      </c>
      <c r="I3153" t="s">
        <v>418</v>
      </c>
      <c r="J3153" t="s">
        <v>2019</v>
      </c>
      <c r="K3153" t="s">
        <v>20</v>
      </c>
      <c r="L3153" t="s">
        <v>7696</v>
      </c>
      <c r="M3153" s="3" t="str">
        <f>HYPERLINK("..\..\Imagery\ScannedPhotos\1986\MN86-041.1.jpg")</f>
        <v>..\..\Imagery\ScannedPhotos\1986\MN86-041.1.jpg</v>
      </c>
    </row>
    <row r="3154" spans="1:13" x14ac:dyDescent="0.25">
      <c r="A3154" t="s">
        <v>1039</v>
      </c>
      <c r="B3154">
        <v>497507</v>
      </c>
      <c r="C3154">
        <v>5819366</v>
      </c>
      <c r="D3154">
        <v>21</v>
      </c>
      <c r="E3154" t="s">
        <v>15</v>
      </c>
      <c r="F3154" t="s">
        <v>7697</v>
      </c>
      <c r="G3154">
        <v>8</v>
      </c>
      <c r="H3154" t="s">
        <v>968</v>
      </c>
      <c r="I3154" t="s">
        <v>65</v>
      </c>
      <c r="J3154" t="s">
        <v>42</v>
      </c>
      <c r="K3154" t="s">
        <v>20</v>
      </c>
      <c r="L3154" t="s">
        <v>7698</v>
      </c>
      <c r="M3154" s="3" t="str">
        <f>HYPERLINK("..\..\Imagery\ScannedPhotos\1991\VN91-020.7.jpg")</f>
        <v>..\..\Imagery\ScannedPhotos\1991\VN91-020.7.jpg</v>
      </c>
    </row>
    <row r="3155" spans="1:13" x14ac:dyDescent="0.25">
      <c r="A3155" t="s">
        <v>7699</v>
      </c>
      <c r="B3155">
        <v>526729</v>
      </c>
      <c r="C3155">
        <v>5956349</v>
      </c>
      <c r="D3155">
        <v>21</v>
      </c>
      <c r="E3155" t="s">
        <v>15</v>
      </c>
      <c r="F3155" t="s">
        <v>7700</v>
      </c>
      <c r="G3155">
        <v>1</v>
      </c>
      <c r="H3155" t="s">
        <v>6876</v>
      </c>
      <c r="I3155" t="s">
        <v>114</v>
      </c>
      <c r="J3155" t="s">
        <v>48</v>
      </c>
      <c r="K3155" t="s">
        <v>20</v>
      </c>
      <c r="L3155" t="s">
        <v>7701</v>
      </c>
      <c r="M3155" s="3" t="str">
        <f>HYPERLINK("..\..\Imagery\ScannedPhotos\1981\VO81-075.jpg")</f>
        <v>..\..\Imagery\ScannedPhotos\1981\VO81-075.jpg</v>
      </c>
    </row>
    <row r="3156" spans="1:13" x14ac:dyDescent="0.25">
      <c r="A3156" t="s">
        <v>7702</v>
      </c>
      <c r="B3156">
        <v>525894</v>
      </c>
      <c r="C3156">
        <v>5956032</v>
      </c>
      <c r="D3156">
        <v>21</v>
      </c>
      <c r="E3156" t="s">
        <v>15</v>
      </c>
      <c r="F3156" t="s">
        <v>7703</v>
      </c>
      <c r="G3156">
        <v>3</v>
      </c>
      <c r="H3156" t="s">
        <v>6876</v>
      </c>
      <c r="I3156" t="s">
        <v>122</v>
      </c>
      <c r="J3156" t="s">
        <v>48</v>
      </c>
      <c r="K3156" t="s">
        <v>20</v>
      </c>
      <c r="L3156" t="s">
        <v>7704</v>
      </c>
      <c r="M3156" s="3" t="str">
        <f>HYPERLINK("..\..\Imagery\ScannedPhotos\1981\VO81-079.1.jpg")</f>
        <v>..\..\Imagery\ScannedPhotos\1981\VO81-079.1.jpg</v>
      </c>
    </row>
    <row r="3157" spans="1:13" x14ac:dyDescent="0.25">
      <c r="A3157" t="s">
        <v>7702</v>
      </c>
      <c r="B3157">
        <v>525894</v>
      </c>
      <c r="C3157">
        <v>5956032</v>
      </c>
      <c r="D3157">
        <v>21</v>
      </c>
      <c r="E3157" t="s">
        <v>15</v>
      </c>
      <c r="F3157" t="s">
        <v>7705</v>
      </c>
      <c r="G3157">
        <v>3</v>
      </c>
      <c r="H3157" t="s">
        <v>6876</v>
      </c>
      <c r="I3157" t="s">
        <v>108</v>
      </c>
      <c r="J3157" t="s">
        <v>48</v>
      </c>
      <c r="K3157" t="s">
        <v>20</v>
      </c>
      <c r="L3157" t="s">
        <v>7706</v>
      </c>
      <c r="M3157" s="3" t="str">
        <f>HYPERLINK("..\..\Imagery\ScannedPhotos\1981\VO81-079.3.jpg")</f>
        <v>..\..\Imagery\ScannedPhotos\1981\VO81-079.3.jpg</v>
      </c>
    </row>
    <row r="3158" spans="1:13" x14ac:dyDescent="0.25">
      <c r="A3158" t="s">
        <v>7702</v>
      </c>
      <c r="B3158">
        <v>525894</v>
      </c>
      <c r="C3158">
        <v>5956032</v>
      </c>
      <c r="D3158">
        <v>21</v>
      </c>
      <c r="E3158" t="s">
        <v>15</v>
      </c>
      <c r="F3158" t="s">
        <v>7707</v>
      </c>
      <c r="G3158">
        <v>3</v>
      </c>
      <c r="H3158" t="s">
        <v>6876</v>
      </c>
      <c r="I3158" t="s">
        <v>126</v>
      </c>
      <c r="J3158" t="s">
        <v>48</v>
      </c>
      <c r="K3158" t="s">
        <v>20</v>
      </c>
      <c r="L3158" t="s">
        <v>7706</v>
      </c>
      <c r="M3158" s="3" t="str">
        <f>HYPERLINK("..\..\Imagery\ScannedPhotos\1981\VO81-079.2.jpg")</f>
        <v>..\..\Imagery\ScannedPhotos\1981\VO81-079.2.jpg</v>
      </c>
    </row>
    <row r="3159" spans="1:13" x14ac:dyDescent="0.25">
      <c r="A3159" t="s">
        <v>7708</v>
      </c>
      <c r="B3159">
        <v>526405</v>
      </c>
      <c r="C3159">
        <v>5955446</v>
      </c>
      <c r="D3159">
        <v>21</v>
      </c>
      <c r="E3159" t="s">
        <v>15</v>
      </c>
      <c r="F3159" t="s">
        <v>7709</v>
      </c>
      <c r="G3159">
        <v>1</v>
      </c>
      <c r="H3159" t="s">
        <v>6876</v>
      </c>
      <c r="I3159" t="s">
        <v>129</v>
      </c>
      <c r="J3159" t="s">
        <v>48</v>
      </c>
      <c r="K3159" t="s">
        <v>20</v>
      </c>
      <c r="L3159" t="s">
        <v>7710</v>
      </c>
      <c r="M3159" s="3" t="str">
        <f>HYPERLINK("..\..\Imagery\ScannedPhotos\1981\VO81-080.jpg")</f>
        <v>..\..\Imagery\ScannedPhotos\1981\VO81-080.jpg</v>
      </c>
    </row>
    <row r="3160" spans="1:13" x14ac:dyDescent="0.25">
      <c r="A3160" t="s">
        <v>7711</v>
      </c>
      <c r="B3160">
        <v>524623</v>
      </c>
      <c r="C3160">
        <v>5953391</v>
      </c>
      <c r="D3160">
        <v>21</v>
      </c>
      <c r="E3160" t="s">
        <v>15</v>
      </c>
      <c r="F3160" t="s">
        <v>7712</v>
      </c>
      <c r="G3160">
        <v>1</v>
      </c>
      <c r="H3160" t="s">
        <v>6876</v>
      </c>
      <c r="I3160" t="s">
        <v>47</v>
      </c>
      <c r="J3160" t="s">
        <v>48</v>
      </c>
      <c r="K3160" t="s">
        <v>20</v>
      </c>
      <c r="L3160" t="s">
        <v>7713</v>
      </c>
      <c r="M3160" s="3" t="str">
        <f>HYPERLINK("..\..\Imagery\ScannedPhotos\1981\VO81-087.jpg")</f>
        <v>..\..\Imagery\ScannedPhotos\1981\VO81-087.jpg</v>
      </c>
    </row>
    <row r="3161" spans="1:13" x14ac:dyDescent="0.25">
      <c r="A3161" t="s">
        <v>7714</v>
      </c>
      <c r="B3161">
        <v>524985</v>
      </c>
      <c r="C3161">
        <v>5953036</v>
      </c>
      <c r="D3161">
        <v>21</v>
      </c>
      <c r="E3161" t="s">
        <v>15</v>
      </c>
      <c r="F3161" t="s">
        <v>7715</v>
      </c>
      <c r="G3161">
        <v>2</v>
      </c>
      <c r="H3161" t="s">
        <v>6876</v>
      </c>
      <c r="I3161" t="s">
        <v>52</v>
      </c>
      <c r="J3161" t="s">
        <v>48</v>
      </c>
      <c r="K3161" t="s">
        <v>20</v>
      </c>
      <c r="L3161" t="s">
        <v>7716</v>
      </c>
      <c r="M3161" s="3" t="str">
        <f>HYPERLINK("..\..\Imagery\ScannedPhotos\1981\VO81-088.1.jpg")</f>
        <v>..\..\Imagery\ScannedPhotos\1981\VO81-088.1.jpg</v>
      </c>
    </row>
    <row r="3162" spans="1:13" x14ac:dyDescent="0.25">
      <c r="A3162" t="s">
        <v>7714</v>
      </c>
      <c r="B3162">
        <v>524985</v>
      </c>
      <c r="C3162">
        <v>5953036</v>
      </c>
      <c r="D3162">
        <v>21</v>
      </c>
      <c r="E3162" t="s">
        <v>15</v>
      </c>
      <c r="F3162" t="s">
        <v>7717</v>
      </c>
      <c r="G3162">
        <v>2</v>
      </c>
      <c r="H3162" t="s">
        <v>6876</v>
      </c>
      <c r="I3162" t="s">
        <v>65</v>
      </c>
      <c r="J3162" t="s">
        <v>48</v>
      </c>
      <c r="K3162" t="s">
        <v>20</v>
      </c>
      <c r="L3162" t="s">
        <v>7718</v>
      </c>
      <c r="M3162" s="3" t="str">
        <f>HYPERLINK("..\..\Imagery\ScannedPhotos\1981\VO81-088.2.jpg")</f>
        <v>..\..\Imagery\ScannedPhotos\1981\VO81-088.2.jpg</v>
      </c>
    </row>
    <row r="3163" spans="1:13" x14ac:dyDescent="0.25">
      <c r="A3163" t="s">
        <v>1602</v>
      </c>
      <c r="B3163">
        <v>575405</v>
      </c>
      <c r="C3163">
        <v>5929596</v>
      </c>
      <c r="D3163">
        <v>21</v>
      </c>
      <c r="E3163" t="s">
        <v>15</v>
      </c>
      <c r="F3163" t="s">
        <v>7719</v>
      </c>
      <c r="G3163">
        <v>6</v>
      </c>
      <c r="H3163" t="s">
        <v>1604</v>
      </c>
      <c r="I3163" t="s">
        <v>360</v>
      </c>
      <c r="J3163" t="s">
        <v>1605</v>
      </c>
      <c r="K3163" t="s">
        <v>20</v>
      </c>
      <c r="L3163" t="s">
        <v>7720</v>
      </c>
      <c r="M3163" s="3" t="str">
        <f>HYPERLINK("..\..\Imagery\ScannedPhotos\1985\CG85-418.3.jpg")</f>
        <v>..\..\Imagery\ScannedPhotos\1985\CG85-418.3.jpg</v>
      </c>
    </row>
    <row r="3164" spans="1:13" x14ac:dyDescent="0.25">
      <c r="A3164" t="s">
        <v>1602</v>
      </c>
      <c r="B3164">
        <v>575405</v>
      </c>
      <c r="C3164">
        <v>5929596</v>
      </c>
      <c r="D3164">
        <v>21</v>
      </c>
      <c r="E3164" t="s">
        <v>15</v>
      </c>
      <c r="F3164" t="s">
        <v>7721</v>
      </c>
      <c r="G3164">
        <v>6</v>
      </c>
      <c r="H3164" t="s">
        <v>1604</v>
      </c>
      <c r="I3164" t="s">
        <v>25</v>
      </c>
      <c r="J3164" t="s">
        <v>1605</v>
      </c>
      <c r="K3164" t="s">
        <v>20</v>
      </c>
      <c r="L3164" t="s">
        <v>6284</v>
      </c>
      <c r="M3164" s="3" t="str">
        <f>HYPERLINK("..\..\Imagery\ScannedPhotos\1985\CG85-418.2.jpg")</f>
        <v>..\..\Imagery\ScannedPhotos\1985\CG85-418.2.jpg</v>
      </c>
    </row>
    <row r="3165" spans="1:13" x14ac:dyDescent="0.25">
      <c r="A3165" t="s">
        <v>7507</v>
      </c>
      <c r="B3165">
        <v>370251</v>
      </c>
      <c r="C3165">
        <v>5809720</v>
      </c>
      <c r="D3165">
        <v>21</v>
      </c>
      <c r="E3165" t="s">
        <v>15</v>
      </c>
      <c r="F3165" t="s">
        <v>7722</v>
      </c>
      <c r="G3165">
        <v>2</v>
      </c>
      <c r="H3165" t="s">
        <v>6227</v>
      </c>
      <c r="I3165" t="s">
        <v>79</v>
      </c>
      <c r="J3165" t="s">
        <v>6228</v>
      </c>
      <c r="K3165" t="s">
        <v>20</v>
      </c>
      <c r="L3165" t="s">
        <v>2632</v>
      </c>
      <c r="M3165" s="3" t="str">
        <f>HYPERLINK("..\..\Imagery\ScannedPhotos\1999\CG99-285.1.jpg")</f>
        <v>..\..\Imagery\ScannedPhotos\1999\CG99-285.1.jpg</v>
      </c>
    </row>
    <row r="3166" spans="1:13" x14ac:dyDescent="0.25">
      <c r="A3166" t="s">
        <v>7723</v>
      </c>
      <c r="B3166">
        <v>368735</v>
      </c>
      <c r="C3166">
        <v>5810708</v>
      </c>
      <c r="D3166">
        <v>21</v>
      </c>
      <c r="E3166" t="s">
        <v>15</v>
      </c>
      <c r="F3166" t="s">
        <v>7724</v>
      </c>
      <c r="G3166">
        <v>4</v>
      </c>
      <c r="H3166" t="s">
        <v>4033</v>
      </c>
      <c r="I3166" t="s">
        <v>418</v>
      </c>
      <c r="J3166" t="s">
        <v>4034</v>
      </c>
      <c r="K3166" t="s">
        <v>535</v>
      </c>
      <c r="L3166" t="s">
        <v>7725</v>
      </c>
      <c r="M3166" s="3" t="str">
        <f>HYPERLINK("..\..\Imagery\ScannedPhotos\1999\CG99-287.2.jpg")</f>
        <v>..\..\Imagery\ScannedPhotos\1999\CG99-287.2.jpg</v>
      </c>
    </row>
    <row r="3167" spans="1:13" x14ac:dyDescent="0.25">
      <c r="A3167" t="s">
        <v>7723</v>
      </c>
      <c r="B3167">
        <v>368735</v>
      </c>
      <c r="C3167">
        <v>5810708</v>
      </c>
      <c r="D3167">
        <v>21</v>
      </c>
      <c r="E3167" t="s">
        <v>15</v>
      </c>
      <c r="F3167" t="s">
        <v>7726</v>
      </c>
      <c r="G3167">
        <v>4</v>
      </c>
      <c r="H3167" t="s">
        <v>4033</v>
      </c>
      <c r="I3167" t="s">
        <v>304</v>
      </c>
      <c r="J3167" t="s">
        <v>4034</v>
      </c>
      <c r="K3167" t="s">
        <v>535</v>
      </c>
      <c r="L3167" t="s">
        <v>7725</v>
      </c>
      <c r="M3167" s="3" t="str">
        <f>HYPERLINK("..\..\Imagery\ScannedPhotos\1999\CG99-287.3.jpg")</f>
        <v>..\..\Imagery\ScannedPhotos\1999\CG99-287.3.jpg</v>
      </c>
    </row>
    <row r="3168" spans="1:13" x14ac:dyDescent="0.25">
      <c r="A3168" t="s">
        <v>7727</v>
      </c>
      <c r="B3168">
        <v>548845</v>
      </c>
      <c r="C3168">
        <v>5820708</v>
      </c>
      <c r="D3168">
        <v>21</v>
      </c>
      <c r="E3168" t="s">
        <v>15</v>
      </c>
      <c r="F3168" t="s">
        <v>7728</v>
      </c>
      <c r="G3168">
        <v>2</v>
      </c>
      <c r="H3168" t="s">
        <v>2325</v>
      </c>
      <c r="I3168" t="s">
        <v>25</v>
      </c>
      <c r="J3168" t="s">
        <v>2019</v>
      </c>
      <c r="K3168" t="s">
        <v>20</v>
      </c>
      <c r="L3168" t="s">
        <v>7729</v>
      </c>
      <c r="M3168" s="3" t="str">
        <f>HYPERLINK("..\..\Imagery\ScannedPhotos\1986\MN86-056.2.jpg")</f>
        <v>..\..\Imagery\ScannedPhotos\1986\MN86-056.2.jpg</v>
      </c>
    </row>
    <row r="3169" spans="1:13" x14ac:dyDescent="0.25">
      <c r="A3169" t="s">
        <v>7727</v>
      </c>
      <c r="B3169">
        <v>548845</v>
      </c>
      <c r="C3169">
        <v>5820708</v>
      </c>
      <c r="D3169">
        <v>21</v>
      </c>
      <c r="E3169" t="s">
        <v>15</v>
      </c>
      <c r="F3169" t="s">
        <v>7730</v>
      </c>
      <c r="G3169">
        <v>2</v>
      </c>
      <c r="H3169" t="s">
        <v>2325</v>
      </c>
      <c r="I3169" t="s">
        <v>195</v>
      </c>
      <c r="J3169" t="s">
        <v>2019</v>
      </c>
      <c r="K3169" t="s">
        <v>20</v>
      </c>
      <c r="L3169" t="s">
        <v>7731</v>
      </c>
      <c r="M3169" s="3" t="str">
        <f>HYPERLINK("..\..\Imagery\ScannedPhotos\1986\MN86-056.1.jpg")</f>
        <v>..\..\Imagery\ScannedPhotos\1986\MN86-056.1.jpg</v>
      </c>
    </row>
    <row r="3170" spans="1:13" x14ac:dyDescent="0.25">
      <c r="A3170" t="s">
        <v>7732</v>
      </c>
      <c r="B3170">
        <v>551633</v>
      </c>
      <c r="C3170">
        <v>5820549</v>
      </c>
      <c r="D3170">
        <v>21</v>
      </c>
      <c r="E3170" t="s">
        <v>15</v>
      </c>
      <c r="F3170" t="s">
        <v>7733</v>
      </c>
      <c r="G3170">
        <v>1</v>
      </c>
      <c r="H3170" t="s">
        <v>2325</v>
      </c>
      <c r="I3170" t="s">
        <v>360</v>
      </c>
      <c r="J3170" t="s">
        <v>2019</v>
      </c>
      <c r="K3170" t="s">
        <v>56</v>
      </c>
      <c r="L3170" t="s">
        <v>7734</v>
      </c>
      <c r="M3170" s="3" t="str">
        <f>HYPERLINK("..\..\Imagery\ScannedPhotos\1986\MN86-061.jpg")</f>
        <v>..\..\Imagery\ScannedPhotos\1986\MN86-061.jpg</v>
      </c>
    </row>
    <row r="3171" spans="1:13" x14ac:dyDescent="0.25">
      <c r="A3171" t="s">
        <v>7735</v>
      </c>
      <c r="B3171">
        <v>552345</v>
      </c>
      <c r="C3171">
        <v>5820677</v>
      </c>
      <c r="D3171">
        <v>21</v>
      </c>
      <c r="E3171" t="s">
        <v>15</v>
      </c>
      <c r="F3171" t="s">
        <v>7736</v>
      </c>
      <c r="G3171">
        <v>2</v>
      </c>
      <c r="H3171" t="s">
        <v>2325</v>
      </c>
      <c r="I3171" t="s">
        <v>30</v>
      </c>
      <c r="J3171" t="s">
        <v>2019</v>
      </c>
      <c r="K3171" t="s">
        <v>56</v>
      </c>
      <c r="L3171" t="s">
        <v>4507</v>
      </c>
      <c r="M3171" s="3" t="str">
        <f>HYPERLINK("..\..\Imagery\ScannedPhotos\1986\MN86-063.2.jpg")</f>
        <v>..\..\Imagery\ScannedPhotos\1986\MN86-063.2.jpg</v>
      </c>
    </row>
    <row r="3172" spans="1:13" x14ac:dyDescent="0.25">
      <c r="A3172" t="s">
        <v>7737</v>
      </c>
      <c r="B3172">
        <v>357268</v>
      </c>
      <c r="C3172">
        <v>5796739</v>
      </c>
      <c r="D3172">
        <v>21</v>
      </c>
      <c r="E3172" t="s">
        <v>15</v>
      </c>
      <c r="F3172" t="s">
        <v>7738</v>
      </c>
      <c r="G3172">
        <v>1</v>
      </c>
      <c r="H3172" t="s">
        <v>2236</v>
      </c>
      <c r="I3172" t="s">
        <v>129</v>
      </c>
      <c r="J3172" t="s">
        <v>80</v>
      </c>
      <c r="K3172" t="s">
        <v>20</v>
      </c>
      <c r="L3172" t="s">
        <v>7739</v>
      </c>
      <c r="M3172" s="3" t="str">
        <f>HYPERLINK("..\..\Imagery\ScannedPhotos\2000\CG00-303.jpg")</f>
        <v>..\..\Imagery\ScannedPhotos\2000\CG00-303.jpg</v>
      </c>
    </row>
    <row r="3173" spans="1:13" x14ac:dyDescent="0.25">
      <c r="A3173" t="s">
        <v>7740</v>
      </c>
      <c r="B3173">
        <v>358447</v>
      </c>
      <c r="C3173">
        <v>5794229</v>
      </c>
      <c r="D3173">
        <v>21</v>
      </c>
      <c r="E3173" t="s">
        <v>15</v>
      </c>
      <c r="F3173" t="s">
        <v>7741</v>
      </c>
      <c r="G3173">
        <v>1</v>
      </c>
      <c r="H3173" t="s">
        <v>2236</v>
      </c>
      <c r="I3173" t="s">
        <v>143</v>
      </c>
      <c r="J3173" t="s">
        <v>80</v>
      </c>
      <c r="K3173" t="s">
        <v>20</v>
      </c>
      <c r="L3173" t="s">
        <v>7742</v>
      </c>
      <c r="M3173" s="3" t="str">
        <f>HYPERLINK("..\..\Imagery\ScannedPhotos\2000\CG00-306.jpg")</f>
        <v>..\..\Imagery\ScannedPhotos\2000\CG00-306.jpg</v>
      </c>
    </row>
    <row r="3174" spans="1:13" x14ac:dyDescent="0.25">
      <c r="A3174" t="s">
        <v>7743</v>
      </c>
      <c r="B3174">
        <v>352554</v>
      </c>
      <c r="C3174">
        <v>5795594</v>
      </c>
      <c r="D3174">
        <v>21</v>
      </c>
      <c r="E3174" t="s">
        <v>15</v>
      </c>
      <c r="F3174" t="s">
        <v>7744</v>
      </c>
      <c r="G3174">
        <v>1</v>
      </c>
      <c r="H3174" t="s">
        <v>2236</v>
      </c>
      <c r="I3174" t="s">
        <v>147</v>
      </c>
      <c r="J3174" t="s">
        <v>80</v>
      </c>
      <c r="K3174" t="s">
        <v>20</v>
      </c>
      <c r="L3174" t="s">
        <v>7745</v>
      </c>
      <c r="M3174" s="3" t="str">
        <f>HYPERLINK("..\..\Imagery\ScannedPhotos\2000\CG00-310.jpg")</f>
        <v>..\..\Imagery\ScannedPhotos\2000\CG00-310.jpg</v>
      </c>
    </row>
    <row r="3175" spans="1:13" x14ac:dyDescent="0.25">
      <c r="A3175" t="s">
        <v>3131</v>
      </c>
      <c r="B3175">
        <v>406812</v>
      </c>
      <c r="C3175">
        <v>6004126</v>
      </c>
      <c r="D3175">
        <v>21</v>
      </c>
      <c r="E3175" t="s">
        <v>15</v>
      </c>
      <c r="F3175" t="s">
        <v>7746</v>
      </c>
      <c r="G3175">
        <v>27</v>
      </c>
      <c r="H3175" t="s">
        <v>806</v>
      </c>
      <c r="I3175" t="s">
        <v>94</v>
      </c>
      <c r="J3175" t="s">
        <v>807</v>
      </c>
      <c r="K3175" t="s">
        <v>535</v>
      </c>
      <c r="L3175" t="s">
        <v>7747</v>
      </c>
      <c r="M3175" s="3" t="str">
        <f>HYPERLINK("..\..\Imagery\ScannedPhotos\1980\CG80-102.9.jpg")</f>
        <v>..\..\Imagery\ScannedPhotos\1980\CG80-102.9.jpg</v>
      </c>
    </row>
    <row r="3176" spans="1:13" x14ac:dyDescent="0.25">
      <c r="A3176" t="s">
        <v>3131</v>
      </c>
      <c r="B3176">
        <v>406812</v>
      </c>
      <c r="C3176">
        <v>6004126</v>
      </c>
      <c r="D3176">
        <v>21</v>
      </c>
      <c r="E3176" t="s">
        <v>15</v>
      </c>
      <c r="F3176" t="s">
        <v>7748</v>
      </c>
      <c r="G3176">
        <v>27</v>
      </c>
      <c r="H3176" t="s">
        <v>1175</v>
      </c>
      <c r="I3176" t="s">
        <v>94</v>
      </c>
      <c r="J3176" t="s">
        <v>1176</v>
      </c>
      <c r="K3176" t="s">
        <v>535</v>
      </c>
      <c r="L3176" t="s">
        <v>7749</v>
      </c>
      <c r="M3176" s="3" t="str">
        <f>HYPERLINK("..\..\Imagery\ScannedPhotos\1980\CG80-102.12.jpg")</f>
        <v>..\..\Imagery\ScannedPhotos\1980\CG80-102.12.jpg</v>
      </c>
    </row>
    <row r="3177" spans="1:13" x14ac:dyDescent="0.25">
      <c r="A3177" t="s">
        <v>3131</v>
      </c>
      <c r="B3177">
        <v>406812</v>
      </c>
      <c r="C3177">
        <v>6004126</v>
      </c>
      <c r="D3177">
        <v>21</v>
      </c>
      <c r="E3177" t="s">
        <v>15</v>
      </c>
      <c r="F3177" t="s">
        <v>7750</v>
      </c>
      <c r="G3177">
        <v>27</v>
      </c>
      <c r="H3177" t="s">
        <v>806</v>
      </c>
      <c r="I3177" t="s">
        <v>108</v>
      </c>
      <c r="J3177" t="s">
        <v>807</v>
      </c>
      <c r="K3177" t="s">
        <v>535</v>
      </c>
      <c r="L3177" t="s">
        <v>7751</v>
      </c>
      <c r="M3177" s="3" t="str">
        <f>HYPERLINK("..\..\Imagery\ScannedPhotos\1980\CG80-102.11.jpg")</f>
        <v>..\..\Imagery\ScannedPhotos\1980\CG80-102.11.jpg</v>
      </c>
    </row>
    <row r="3178" spans="1:13" x14ac:dyDescent="0.25">
      <c r="A3178" t="s">
        <v>7752</v>
      </c>
      <c r="B3178">
        <v>497749</v>
      </c>
      <c r="C3178">
        <v>5792297</v>
      </c>
      <c r="D3178">
        <v>21</v>
      </c>
      <c r="E3178" t="s">
        <v>15</v>
      </c>
      <c r="F3178" t="s">
        <v>7753</v>
      </c>
      <c r="G3178">
        <v>2</v>
      </c>
      <c r="H3178" t="s">
        <v>2340</v>
      </c>
      <c r="I3178" t="s">
        <v>122</v>
      </c>
      <c r="J3178" t="s">
        <v>2341</v>
      </c>
      <c r="K3178" t="s">
        <v>20</v>
      </c>
      <c r="L3178" t="s">
        <v>2039</v>
      </c>
      <c r="M3178" s="3" t="str">
        <f>HYPERLINK("..\..\Imagery\ScannedPhotos\1992\HP92-090.2.jpg")</f>
        <v>..\..\Imagery\ScannedPhotos\1992\HP92-090.2.jpg</v>
      </c>
    </row>
    <row r="3179" spans="1:13" x14ac:dyDescent="0.25">
      <c r="A3179" t="s">
        <v>1299</v>
      </c>
      <c r="B3179">
        <v>532260</v>
      </c>
      <c r="C3179">
        <v>5810786</v>
      </c>
      <c r="D3179">
        <v>21</v>
      </c>
      <c r="E3179" t="s">
        <v>15</v>
      </c>
      <c r="F3179" t="s">
        <v>7754</v>
      </c>
      <c r="G3179">
        <v>3</v>
      </c>
      <c r="K3179" t="s">
        <v>935</v>
      </c>
      <c r="L3179" t="s">
        <v>7755</v>
      </c>
      <c r="M3179" s="3" t="str">
        <f>HYPERLINK("..\..\Imagery\ScannedPhotos\2003\CG03-323.2.jpg")</f>
        <v>..\..\Imagery\ScannedPhotos\2003\CG03-323.2.jpg</v>
      </c>
    </row>
    <row r="3180" spans="1:13" x14ac:dyDescent="0.25">
      <c r="A3180" t="s">
        <v>1299</v>
      </c>
      <c r="B3180">
        <v>532260</v>
      </c>
      <c r="C3180">
        <v>5810786</v>
      </c>
      <c r="D3180">
        <v>21</v>
      </c>
      <c r="E3180" t="s">
        <v>15</v>
      </c>
      <c r="F3180" t="s">
        <v>7756</v>
      </c>
      <c r="G3180">
        <v>3</v>
      </c>
      <c r="K3180" t="s">
        <v>935</v>
      </c>
      <c r="L3180" t="s">
        <v>7755</v>
      </c>
      <c r="M3180" s="3" t="str">
        <f>HYPERLINK("..\..\Imagery\ScannedPhotos\2003\CG03-323.3.jpg")</f>
        <v>..\..\Imagery\ScannedPhotos\2003\CG03-323.3.jpg</v>
      </c>
    </row>
    <row r="3181" spans="1:13" x14ac:dyDescent="0.25">
      <c r="A3181" t="s">
        <v>7757</v>
      </c>
      <c r="B3181">
        <v>502126</v>
      </c>
      <c r="C3181">
        <v>5850594</v>
      </c>
      <c r="D3181">
        <v>21</v>
      </c>
      <c r="E3181" t="s">
        <v>15</v>
      </c>
      <c r="F3181" t="s">
        <v>7758</v>
      </c>
      <c r="G3181">
        <v>1</v>
      </c>
      <c r="K3181" t="s">
        <v>228</v>
      </c>
      <c r="L3181" t="s">
        <v>7759</v>
      </c>
      <c r="M3181" s="3" t="str">
        <f>HYPERLINK("..\..\Imagery\ScannedPhotos\2003\CG03-366.jpg")</f>
        <v>..\..\Imagery\ScannedPhotos\2003\CG03-366.jpg</v>
      </c>
    </row>
    <row r="3182" spans="1:13" x14ac:dyDescent="0.25">
      <c r="A3182" t="s">
        <v>453</v>
      </c>
      <c r="B3182">
        <v>508214</v>
      </c>
      <c r="C3182">
        <v>5846432</v>
      </c>
      <c r="D3182">
        <v>21</v>
      </c>
      <c r="E3182" t="s">
        <v>15</v>
      </c>
      <c r="F3182" t="s">
        <v>7760</v>
      </c>
      <c r="G3182">
        <v>2</v>
      </c>
      <c r="K3182" t="s">
        <v>20</v>
      </c>
      <c r="L3182" t="s">
        <v>455</v>
      </c>
      <c r="M3182" s="3" t="str">
        <f>HYPERLINK("..\..\Imagery\ScannedPhotos\2003\CG03-371.1.jpg")</f>
        <v>..\..\Imagery\ScannedPhotos\2003\CG03-371.1.jpg</v>
      </c>
    </row>
    <row r="3183" spans="1:13" x14ac:dyDescent="0.25">
      <c r="A3183" t="s">
        <v>7761</v>
      </c>
      <c r="B3183">
        <v>513491</v>
      </c>
      <c r="C3183">
        <v>5845156</v>
      </c>
      <c r="D3183">
        <v>21</v>
      </c>
      <c r="E3183" t="s">
        <v>15</v>
      </c>
      <c r="F3183" t="s">
        <v>7762</v>
      </c>
      <c r="G3183">
        <v>1</v>
      </c>
      <c r="K3183" t="s">
        <v>56</v>
      </c>
      <c r="L3183" t="s">
        <v>7763</v>
      </c>
      <c r="M3183" s="3" t="str">
        <f>HYPERLINK("..\..\Imagery\ScannedPhotos\2003\CG03-376.jpg")</f>
        <v>..\..\Imagery\ScannedPhotos\2003\CG03-376.jpg</v>
      </c>
    </row>
    <row r="3184" spans="1:13" x14ac:dyDescent="0.25">
      <c r="A3184" t="s">
        <v>7764</v>
      </c>
      <c r="B3184">
        <v>526373</v>
      </c>
      <c r="C3184">
        <v>5837479</v>
      </c>
      <c r="D3184">
        <v>21</v>
      </c>
      <c r="E3184" t="s">
        <v>15</v>
      </c>
      <c r="F3184" t="s">
        <v>7765</v>
      </c>
      <c r="G3184">
        <v>1</v>
      </c>
      <c r="K3184" t="s">
        <v>56</v>
      </c>
      <c r="L3184" t="s">
        <v>7766</v>
      </c>
      <c r="M3184" s="3" t="str">
        <f>HYPERLINK("..\..\Imagery\ScannedPhotos\2003\CG03-381.jpg")</f>
        <v>..\..\Imagery\ScannedPhotos\2003\CG03-381.jpg</v>
      </c>
    </row>
    <row r="3185" spans="1:13" x14ac:dyDescent="0.25">
      <c r="A3185" t="s">
        <v>7767</v>
      </c>
      <c r="B3185">
        <v>559157</v>
      </c>
      <c r="C3185">
        <v>5846356</v>
      </c>
      <c r="D3185">
        <v>21</v>
      </c>
      <c r="E3185" t="s">
        <v>15</v>
      </c>
      <c r="F3185" t="s">
        <v>7768</v>
      </c>
      <c r="G3185">
        <v>2</v>
      </c>
      <c r="K3185" t="s">
        <v>20</v>
      </c>
      <c r="L3185" t="s">
        <v>7769</v>
      </c>
      <c r="M3185" s="3" t="str">
        <f>HYPERLINK("..\..\Imagery\ScannedPhotos\2004\CG04-001.1.jpg")</f>
        <v>..\..\Imagery\ScannedPhotos\2004\CG04-001.1.jpg</v>
      </c>
    </row>
    <row r="3186" spans="1:13" x14ac:dyDescent="0.25">
      <c r="A3186" t="s">
        <v>7767</v>
      </c>
      <c r="B3186">
        <v>559157</v>
      </c>
      <c r="C3186">
        <v>5846356</v>
      </c>
      <c r="D3186">
        <v>21</v>
      </c>
      <c r="E3186" t="s">
        <v>15</v>
      </c>
      <c r="F3186" t="s">
        <v>7770</v>
      </c>
      <c r="G3186">
        <v>2</v>
      </c>
      <c r="K3186" t="s">
        <v>20</v>
      </c>
      <c r="L3186" t="s">
        <v>7771</v>
      </c>
      <c r="M3186" s="3" t="str">
        <f>HYPERLINK("..\..\Imagery\ScannedPhotos\2004\CG04-001.2.jpg")</f>
        <v>..\..\Imagery\ScannedPhotos\2004\CG04-001.2.jpg</v>
      </c>
    </row>
    <row r="3187" spans="1:13" x14ac:dyDescent="0.25">
      <c r="A3187" t="s">
        <v>7772</v>
      </c>
      <c r="B3187">
        <v>555651</v>
      </c>
      <c r="C3187">
        <v>5844623</v>
      </c>
      <c r="D3187">
        <v>21</v>
      </c>
      <c r="E3187" t="s">
        <v>15</v>
      </c>
      <c r="F3187" t="s">
        <v>7773</v>
      </c>
      <c r="G3187">
        <v>1</v>
      </c>
      <c r="K3187" t="s">
        <v>20</v>
      </c>
      <c r="L3187" t="s">
        <v>7774</v>
      </c>
      <c r="M3187" s="3" t="str">
        <f>HYPERLINK("..\..\Imagery\ScannedPhotos\2004\CG04-008.jpg")</f>
        <v>..\..\Imagery\ScannedPhotos\2004\CG04-008.jpg</v>
      </c>
    </row>
    <row r="3188" spans="1:13" x14ac:dyDescent="0.25">
      <c r="A3188" t="s">
        <v>7775</v>
      </c>
      <c r="B3188">
        <v>555268</v>
      </c>
      <c r="C3188">
        <v>5844468</v>
      </c>
      <c r="D3188">
        <v>21</v>
      </c>
      <c r="E3188" t="s">
        <v>15</v>
      </c>
      <c r="F3188" t="s">
        <v>7776</v>
      </c>
      <c r="G3188">
        <v>1</v>
      </c>
      <c r="K3188" t="s">
        <v>56</v>
      </c>
      <c r="L3188" t="s">
        <v>7777</v>
      </c>
      <c r="M3188" s="3" t="str">
        <f>HYPERLINK("..\..\Imagery\ScannedPhotos\2004\CG04-010.jpg")</f>
        <v>..\..\Imagery\ScannedPhotos\2004\CG04-010.jpg</v>
      </c>
    </row>
    <row r="3189" spans="1:13" x14ac:dyDescent="0.25">
      <c r="A3189" t="s">
        <v>7778</v>
      </c>
      <c r="B3189">
        <v>554732</v>
      </c>
      <c r="C3189">
        <v>5843890</v>
      </c>
      <c r="D3189">
        <v>21</v>
      </c>
      <c r="E3189" t="s">
        <v>15</v>
      </c>
      <c r="F3189" t="s">
        <v>7779</v>
      </c>
      <c r="G3189">
        <v>3</v>
      </c>
      <c r="K3189" t="s">
        <v>56</v>
      </c>
      <c r="L3189" t="s">
        <v>7780</v>
      </c>
      <c r="M3189" s="3" t="str">
        <f>HYPERLINK("..\..\Imagery\ScannedPhotos\2004\CG04-012.1.jpg")</f>
        <v>..\..\Imagery\ScannedPhotos\2004\CG04-012.1.jpg</v>
      </c>
    </row>
    <row r="3190" spans="1:13" x14ac:dyDescent="0.25">
      <c r="A3190" t="s">
        <v>7778</v>
      </c>
      <c r="B3190">
        <v>554732</v>
      </c>
      <c r="C3190">
        <v>5843890</v>
      </c>
      <c r="D3190">
        <v>21</v>
      </c>
      <c r="E3190" t="s">
        <v>15</v>
      </c>
      <c r="F3190" t="s">
        <v>7781</v>
      </c>
      <c r="G3190">
        <v>3</v>
      </c>
      <c r="K3190" t="s">
        <v>20</v>
      </c>
      <c r="L3190" t="s">
        <v>7782</v>
      </c>
      <c r="M3190" s="3" t="str">
        <f>HYPERLINK("..\..\Imagery\ScannedPhotos\2004\CG04-012.2.jpg")</f>
        <v>..\..\Imagery\ScannedPhotos\2004\CG04-012.2.jpg</v>
      </c>
    </row>
    <row r="3191" spans="1:13" x14ac:dyDescent="0.25">
      <c r="A3191" t="s">
        <v>7778</v>
      </c>
      <c r="B3191">
        <v>554732</v>
      </c>
      <c r="C3191">
        <v>5843890</v>
      </c>
      <c r="D3191">
        <v>21</v>
      </c>
      <c r="E3191" t="s">
        <v>15</v>
      </c>
      <c r="F3191" t="s">
        <v>7783</v>
      </c>
      <c r="G3191">
        <v>3</v>
      </c>
      <c r="K3191" t="s">
        <v>56</v>
      </c>
      <c r="L3191" t="s">
        <v>7780</v>
      </c>
      <c r="M3191" s="3" t="str">
        <f>HYPERLINK("..\..\Imagery\ScannedPhotos\2004\CG04-012.3.jpg")</f>
        <v>..\..\Imagery\ScannedPhotos\2004\CG04-012.3.jpg</v>
      </c>
    </row>
    <row r="3192" spans="1:13" x14ac:dyDescent="0.25">
      <c r="A3192" t="s">
        <v>7784</v>
      </c>
      <c r="B3192">
        <v>549833</v>
      </c>
      <c r="C3192">
        <v>5842820</v>
      </c>
      <c r="D3192">
        <v>21</v>
      </c>
      <c r="E3192" t="s">
        <v>15</v>
      </c>
      <c r="F3192" t="s">
        <v>7785</v>
      </c>
      <c r="G3192">
        <v>1</v>
      </c>
      <c r="K3192" t="s">
        <v>56</v>
      </c>
      <c r="L3192" t="s">
        <v>7786</v>
      </c>
      <c r="M3192" s="3" t="str">
        <f>HYPERLINK("..\..\Imagery\ScannedPhotos\2004\CG04-022.jpg")</f>
        <v>..\..\Imagery\ScannedPhotos\2004\CG04-022.jpg</v>
      </c>
    </row>
    <row r="3193" spans="1:13" x14ac:dyDescent="0.25">
      <c r="A3193" t="s">
        <v>7787</v>
      </c>
      <c r="B3193">
        <v>493278</v>
      </c>
      <c r="C3193">
        <v>5896286</v>
      </c>
      <c r="D3193">
        <v>21</v>
      </c>
      <c r="E3193" t="s">
        <v>15</v>
      </c>
      <c r="F3193" t="s">
        <v>7788</v>
      </c>
      <c r="G3193">
        <v>5</v>
      </c>
      <c r="H3193" t="s">
        <v>2912</v>
      </c>
      <c r="I3193" t="s">
        <v>386</v>
      </c>
      <c r="J3193" t="s">
        <v>2913</v>
      </c>
      <c r="K3193" t="s">
        <v>56</v>
      </c>
      <c r="L3193" t="s">
        <v>7789</v>
      </c>
      <c r="M3193" s="3" t="str">
        <f>HYPERLINK("..\..\Imagery\ScannedPhotos\1984\VN84-189.2.jpg")</f>
        <v>..\..\Imagery\ScannedPhotos\1984\VN84-189.2.jpg</v>
      </c>
    </row>
    <row r="3194" spans="1:13" x14ac:dyDescent="0.25">
      <c r="A3194" t="s">
        <v>7790</v>
      </c>
      <c r="B3194">
        <v>494005</v>
      </c>
      <c r="C3194">
        <v>5895940</v>
      </c>
      <c r="D3194">
        <v>21</v>
      </c>
      <c r="E3194" t="s">
        <v>15</v>
      </c>
      <c r="F3194" t="s">
        <v>7791</v>
      </c>
      <c r="G3194">
        <v>2</v>
      </c>
      <c r="H3194" t="s">
        <v>2912</v>
      </c>
      <c r="I3194" t="s">
        <v>418</v>
      </c>
      <c r="J3194" t="s">
        <v>2913</v>
      </c>
      <c r="K3194" t="s">
        <v>56</v>
      </c>
      <c r="L3194" t="s">
        <v>7792</v>
      </c>
      <c r="M3194" s="3" t="str">
        <f>HYPERLINK("..\..\Imagery\ScannedPhotos\1984\VN84-190.1.jpg")</f>
        <v>..\..\Imagery\ScannedPhotos\1984\VN84-190.1.jpg</v>
      </c>
    </row>
    <row r="3195" spans="1:13" x14ac:dyDescent="0.25">
      <c r="A3195" t="s">
        <v>4731</v>
      </c>
      <c r="B3195">
        <v>457472</v>
      </c>
      <c r="C3195">
        <v>5863489</v>
      </c>
      <c r="D3195">
        <v>21</v>
      </c>
      <c r="E3195" t="s">
        <v>15</v>
      </c>
      <c r="F3195" t="s">
        <v>7793</v>
      </c>
      <c r="G3195">
        <v>6</v>
      </c>
      <c r="H3195" t="s">
        <v>1037</v>
      </c>
      <c r="I3195" t="s">
        <v>281</v>
      </c>
      <c r="J3195" t="s">
        <v>1038</v>
      </c>
      <c r="K3195" t="s">
        <v>20</v>
      </c>
      <c r="L3195" t="s">
        <v>7794</v>
      </c>
      <c r="M3195" s="3" t="str">
        <f>HYPERLINK("..\..\Imagery\ScannedPhotos\1991\VN91-431.3.jpg")</f>
        <v>..\..\Imagery\ScannedPhotos\1991\VN91-431.3.jpg</v>
      </c>
    </row>
    <row r="3196" spans="1:13" x14ac:dyDescent="0.25">
      <c r="A3196" t="s">
        <v>4731</v>
      </c>
      <c r="B3196">
        <v>457472</v>
      </c>
      <c r="C3196">
        <v>5863489</v>
      </c>
      <c r="D3196">
        <v>21</v>
      </c>
      <c r="E3196" t="s">
        <v>15</v>
      </c>
      <c r="F3196" t="s">
        <v>7795</v>
      </c>
      <c r="G3196">
        <v>6</v>
      </c>
      <c r="H3196" t="s">
        <v>1037</v>
      </c>
      <c r="I3196" t="s">
        <v>294</v>
      </c>
      <c r="J3196" t="s">
        <v>1038</v>
      </c>
      <c r="K3196" t="s">
        <v>56</v>
      </c>
      <c r="L3196" t="s">
        <v>322</v>
      </c>
      <c r="M3196" s="3" t="str">
        <f>HYPERLINK("..\..\Imagery\ScannedPhotos\1991\VN91-431.1.jpg")</f>
        <v>..\..\Imagery\ScannedPhotos\1991\VN91-431.1.jpg</v>
      </c>
    </row>
    <row r="3197" spans="1:13" x14ac:dyDescent="0.25">
      <c r="A3197" t="s">
        <v>3967</v>
      </c>
      <c r="B3197">
        <v>385783</v>
      </c>
      <c r="C3197">
        <v>6101288</v>
      </c>
      <c r="D3197">
        <v>21</v>
      </c>
      <c r="E3197" t="s">
        <v>15</v>
      </c>
      <c r="F3197" t="s">
        <v>7796</v>
      </c>
      <c r="G3197">
        <v>2</v>
      </c>
      <c r="H3197" t="s">
        <v>208</v>
      </c>
      <c r="I3197" t="s">
        <v>143</v>
      </c>
      <c r="J3197" t="s">
        <v>210</v>
      </c>
      <c r="K3197" t="s">
        <v>20</v>
      </c>
      <c r="L3197" t="s">
        <v>7797</v>
      </c>
      <c r="M3197" s="3" t="str">
        <f>HYPERLINK("..\..\Imagery\ScannedPhotos\1979\AD79-114.2.jpg")</f>
        <v>..\..\Imagery\ScannedPhotos\1979\AD79-114.2.jpg</v>
      </c>
    </row>
    <row r="3198" spans="1:13" x14ac:dyDescent="0.25">
      <c r="A3198" t="s">
        <v>7798</v>
      </c>
      <c r="B3198">
        <v>382950</v>
      </c>
      <c r="C3198">
        <v>6097604</v>
      </c>
      <c r="D3198">
        <v>21</v>
      </c>
      <c r="E3198" t="s">
        <v>15</v>
      </c>
      <c r="F3198" t="s">
        <v>7799</v>
      </c>
      <c r="G3198">
        <v>1</v>
      </c>
      <c r="H3198" t="s">
        <v>208</v>
      </c>
      <c r="I3198" t="s">
        <v>147</v>
      </c>
      <c r="J3198" t="s">
        <v>210</v>
      </c>
      <c r="K3198" t="s">
        <v>20</v>
      </c>
      <c r="L3198" t="s">
        <v>7800</v>
      </c>
      <c r="M3198" s="3" t="str">
        <f>HYPERLINK("..\..\Imagery\ScannedPhotos\1979\AD79-123.jpg")</f>
        <v>..\..\Imagery\ScannedPhotos\1979\AD79-123.jpg</v>
      </c>
    </row>
    <row r="3199" spans="1:13" x14ac:dyDescent="0.25">
      <c r="A3199" t="s">
        <v>7801</v>
      </c>
      <c r="B3199">
        <v>480766</v>
      </c>
      <c r="C3199">
        <v>5921688</v>
      </c>
      <c r="D3199">
        <v>21</v>
      </c>
      <c r="E3199" t="s">
        <v>15</v>
      </c>
      <c r="F3199" t="s">
        <v>7802</v>
      </c>
      <c r="G3199">
        <v>1</v>
      </c>
      <c r="K3199" t="s">
        <v>56</v>
      </c>
      <c r="L3199" t="s">
        <v>7803</v>
      </c>
      <c r="M3199" s="3" t="str">
        <f>HYPERLINK("..\..\Imagery\ScannedPhotos\2007\CG07-041.jpg")</f>
        <v>..\..\Imagery\ScannedPhotos\2007\CG07-041.jpg</v>
      </c>
    </row>
    <row r="3200" spans="1:13" x14ac:dyDescent="0.25">
      <c r="A3200" t="s">
        <v>7804</v>
      </c>
      <c r="B3200">
        <v>358468</v>
      </c>
      <c r="C3200">
        <v>5903303</v>
      </c>
      <c r="D3200">
        <v>21</v>
      </c>
      <c r="E3200" t="s">
        <v>15</v>
      </c>
      <c r="F3200" t="s">
        <v>7805</v>
      </c>
      <c r="G3200">
        <v>1</v>
      </c>
      <c r="K3200" t="s">
        <v>56</v>
      </c>
      <c r="L3200" t="s">
        <v>7806</v>
      </c>
      <c r="M3200" s="3" t="str">
        <f>HYPERLINK("..\..\Imagery\ScannedPhotos\2007\CG07-086.jpg")</f>
        <v>..\..\Imagery\ScannedPhotos\2007\CG07-086.jpg</v>
      </c>
    </row>
    <row r="3201" spans="1:13" x14ac:dyDescent="0.25">
      <c r="A3201" t="s">
        <v>7807</v>
      </c>
      <c r="B3201">
        <v>506625</v>
      </c>
      <c r="C3201">
        <v>5817866</v>
      </c>
      <c r="D3201">
        <v>21</v>
      </c>
      <c r="E3201" t="s">
        <v>15</v>
      </c>
      <c r="F3201" t="s">
        <v>7808</v>
      </c>
      <c r="G3201">
        <v>2</v>
      </c>
      <c r="H3201" t="s">
        <v>4591</v>
      </c>
      <c r="I3201" t="s">
        <v>214</v>
      </c>
      <c r="J3201" t="s">
        <v>1233</v>
      </c>
      <c r="K3201" t="s">
        <v>56</v>
      </c>
      <c r="L3201" t="s">
        <v>7809</v>
      </c>
      <c r="M3201" s="3" t="str">
        <f>HYPERLINK("..\..\Imagery\ScannedPhotos\1986\SN86-286.1.jpg")</f>
        <v>..\..\Imagery\ScannedPhotos\1986\SN86-286.1.jpg</v>
      </c>
    </row>
    <row r="3202" spans="1:13" x14ac:dyDescent="0.25">
      <c r="A3202" t="s">
        <v>7810</v>
      </c>
      <c r="B3202">
        <v>450116</v>
      </c>
      <c r="C3202">
        <v>5892544</v>
      </c>
      <c r="D3202">
        <v>21</v>
      </c>
      <c r="E3202" t="s">
        <v>15</v>
      </c>
      <c r="F3202" t="s">
        <v>7811</v>
      </c>
      <c r="G3202">
        <v>3</v>
      </c>
      <c r="H3202" t="s">
        <v>6176</v>
      </c>
      <c r="I3202" t="s">
        <v>18</v>
      </c>
      <c r="J3202" t="s">
        <v>2247</v>
      </c>
      <c r="K3202" t="s">
        <v>20</v>
      </c>
      <c r="L3202" t="s">
        <v>7812</v>
      </c>
      <c r="M3202" s="3" t="str">
        <f>HYPERLINK("..\..\Imagery\ScannedPhotos\1984\NN84-218.2.jpg")</f>
        <v>..\..\Imagery\ScannedPhotos\1984\NN84-218.2.jpg</v>
      </c>
    </row>
    <row r="3203" spans="1:13" x14ac:dyDescent="0.25">
      <c r="A3203" t="s">
        <v>7810</v>
      </c>
      <c r="B3203">
        <v>450116</v>
      </c>
      <c r="C3203">
        <v>5892544</v>
      </c>
      <c r="D3203">
        <v>21</v>
      </c>
      <c r="E3203" t="s">
        <v>15</v>
      </c>
      <c r="F3203" t="s">
        <v>7813</v>
      </c>
      <c r="G3203">
        <v>3</v>
      </c>
      <c r="H3203" t="s">
        <v>6176</v>
      </c>
      <c r="I3203" t="s">
        <v>35</v>
      </c>
      <c r="J3203" t="s">
        <v>2247</v>
      </c>
      <c r="K3203" t="s">
        <v>20</v>
      </c>
      <c r="L3203" t="s">
        <v>7814</v>
      </c>
      <c r="M3203" s="3" t="str">
        <f>HYPERLINK("..\..\Imagery\ScannedPhotos\1984\NN84-218.3.jpg")</f>
        <v>..\..\Imagery\ScannedPhotos\1984\NN84-218.3.jpg</v>
      </c>
    </row>
    <row r="3204" spans="1:13" x14ac:dyDescent="0.25">
      <c r="A3204" t="s">
        <v>7815</v>
      </c>
      <c r="B3204">
        <v>389688</v>
      </c>
      <c r="C3204">
        <v>5911086</v>
      </c>
      <c r="D3204">
        <v>21</v>
      </c>
      <c r="E3204" t="s">
        <v>15</v>
      </c>
      <c r="F3204" t="s">
        <v>7816</v>
      </c>
      <c r="G3204">
        <v>4</v>
      </c>
      <c r="H3204" t="s">
        <v>1826</v>
      </c>
      <c r="I3204" t="s">
        <v>418</v>
      </c>
      <c r="J3204" t="s">
        <v>557</v>
      </c>
      <c r="K3204" t="s">
        <v>20</v>
      </c>
      <c r="L3204" t="s">
        <v>7817</v>
      </c>
      <c r="M3204" s="3" t="str">
        <f>HYPERLINK("..\..\Imagery\ScannedPhotos\1995\CG95-161.4.jpg")</f>
        <v>..\..\Imagery\ScannedPhotos\1995\CG95-161.4.jpg</v>
      </c>
    </row>
    <row r="3205" spans="1:13" x14ac:dyDescent="0.25">
      <c r="A3205" t="s">
        <v>6440</v>
      </c>
      <c r="B3205">
        <v>375298</v>
      </c>
      <c r="C3205">
        <v>5906321</v>
      </c>
      <c r="D3205">
        <v>21</v>
      </c>
      <c r="E3205" t="s">
        <v>15</v>
      </c>
      <c r="F3205" t="s">
        <v>7818</v>
      </c>
      <c r="G3205">
        <v>2</v>
      </c>
      <c r="H3205" t="s">
        <v>1826</v>
      </c>
      <c r="I3205" t="s">
        <v>195</v>
      </c>
      <c r="J3205" t="s">
        <v>557</v>
      </c>
      <c r="K3205" t="s">
        <v>20</v>
      </c>
      <c r="L3205" t="s">
        <v>6442</v>
      </c>
      <c r="M3205" s="3" t="str">
        <f>HYPERLINK("..\..\Imagery\ScannedPhotos\1995\CG95-176.2.jpg")</f>
        <v>..\..\Imagery\ScannedPhotos\1995\CG95-176.2.jpg</v>
      </c>
    </row>
    <row r="3206" spans="1:13" x14ac:dyDescent="0.25">
      <c r="A3206" t="s">
        <v>7819</v>
      </c>
      <c r="B3206">
        <v>554690</v>
      </c>
      <c r="C3206">
        <v>5737740</v>
      </c>
      <c r="D3206">
        <v>21</v>
      </c>
      <c r="E3206" t="s">
        <v>15</v>
      </c>
      <c r="F3206" t="s">
        <v>7820</v>
      </c>
      <c r="G3206">
        <v>3</v>
      </c>
      <c r="H3206" t="s">
        <v>6322</v>
      </c>
      <c r="I3206" t="s">
        <v>18</v>
      </c>
      <c r="J3206" t="s">
        <v>996</v>
      </c>
      <c r="K3206" t="s">
        <v>20</v>
      </c>
      <c r="L3206" t="s">
        <v>7821</v>
      </c>
      <c r="M3206" s="3" t="str">
        <f>HYPERLINK("..\..\Imagery\ScannedPhotos\1993\VN93-335.1.jpg")</f>
        <v>..\..\Imagery\ScannedPhotos\1993\VN93-335.1.jpg</v>
      </c>
    </row>
    <row r="3207" spans="1:13" x14ac:dyDescent="0.25">
      <c r="A3207" t="s">
        <v>7819</v>
      </c>
      <c r="B3207">
        <v>554690</v>
      </c>
      <c r="C3207">
        <v>5737740</v>
      </c>
      <c r="D3207">
        <v>21</v>
      </c>
      <c r="E3207" t="s">
        <v>15</v>
      </c>
      <c r="F3207" t="s">
        <v>7822</v>
      </c>
      <c r="G3207">
        <v>3</v>
      </c>
      <c r="H3207" t="s">
        <v>6322</v>
      </c>
      <c r="I3207" t="s">
        <v>35</v>
      </c>
      <c r="J3207" t="s">
        <v>996</v>
      </c>
      <c r="K3207" t="s">
        <v>20</v>
      </c>
      <c r="L3207" t="s">
        <v>7823</v>
      </c>
      <c r="M3207" s="3" t="str">
        <f>HYPERLINK("..\..\Imagery\ScannedPhotos\1993\VN93-335.2.jpg")</f>
        <v>..\..\Imagery\ScannedPhotos\1993\VN93-335.2.jpg</v>
      </c>
    </row>
    <row r="3208" spans="1:13" x14ac:dyDescent="0.25">
      <c r="A3208" t="s">
        <v>7819</v>
      </c>
      <c r="B3208">
        <v>554690</v>
      </c>
      <c r="C3208">
        <v>5737740</v>
      </c>
      <c r="D3208">
        <v>21</v>
      </c>
      <c r="E3208" t="s">
        <v>15</v>
      </c>
      <c r="F3208" t="s">
        <v>7824</v>
      </c>
      <c r="G3208">
        <v>3</v>
      </c>
      <c r="H3208" t="s">
        <v>6322</v>
      </c>
      <c r="I3208" t="s">
        <v>69</v>
      </c>
      <c r="J3208" t="s">
        <v>996</v>
      </c>
      <c r="K3208" t="s">
        <v>20</v>
      </c>
      <c r="L3208" t="s">
        <v>7825</v>
      </c>
      <c r="M3208" s="3" t="str">
        <f>HYPERLINK("..\..\Imagery\ScannedPhotos\1993\VN93-335.3.jpg")</f>
        <v>..\..\Imagery\ScannedPhotos\1993\VN93-335.3.jpg</v>
      </c>
    </row>
    <row r="3209" spans="1:13" x14ac:dyDescent="0.25">
      <c r="A3209" t="s">
        <v>7826</v>
      </c>
      <c r="B3209">
        <v>555390</v>
      </c>
      <c r="C3209">
        <v>5739810</v>
      </c>
      <c r="D3209">
        <v>21</v>
      </c>
      <c r="E3209" t="s">
        <v>15</v>
      </c>
      <c r="F3209" t="s">
        <v>7827</v>
      </c>
      <c r="G3209">
        <v>2</v>
      </c>
      <c r="H3209" t="s">
        <v>6322</v>
      </c>
      <c r="I3209" t="s">
        <v>41</v>
      </c>
      <c r="J3209" t="s">
        <v>996</v>
      </c>
      <c r="K3209" t="s">
        <v>20</v>
      </c>
      <c r="L3209" t="s">
        <v>7828</v>
      </c>
      <c r="M3209" s="3" t="str">
        <f>HYPERLINK("..\..\Imagery\ScannedPhotos\1993\VN93-342.1.jpg")</f>
        <v>..\..\Imagery\ScannedPhotos\1993\VN93-342.1.jpg</v>
      </c>
    </row>
    <row r="3210" spans="1:13" x14ac:dyDescent="0.25">
      <c r="A3210" t="s">
        <v>7829</v>
      </c>
      <c r="B3210">
        <v>506766</v>
      </c>
      <c r="C3210">
        <v>5728971</v>
      </c>
      <c r="D3210">
        <v>21</v>
      </c>
      <c r="E3210" t="s">
        <v>15</v>
      </c>
      <c r="F3210" t="s">
        <v>7830</v>
      </c>
      <c r="G3210">
        <v>1</v>
      </c>
      <c r="H3210" t="s">
        <v>6322</v>
      </c>
      <c r="I3210" t="s">
        <v>375</v>
      </c>
      <c r="J3210" t="s">
        <v>996</v>
      </c>
      <c r="K3210" t="s">
        <v>56</v>
      </c>
      <c r="L3210" t="s">
        <v>7831</v>
      </c>
      <c r="M3210" s="3" t="str">
        <f>HYPERLINK("..\..\Imagery\ScannedPhotos\1993\VN93-353.jpg")</f>
        <v>..\..\Imagery\ScannedPhotos\1993\VN93-353.jpg</v>
      </c>
    </row>
    <row r="3211" spans="1:13" x14ac:dyDescent="0.25">
      <c r="A3211" t="s">
        <v>7832</v>
      </c>
      <c r="B3211">
        <v>482775</v>
      </c>
      <c r="C3211">
        <v>5822250</v>
      </c>
      <c r="D3211">
        <v>21</v>
      </c>
      <c r="E3211" t="s">
        <v>15</v>
      </c>
      <c r="F3211" t="s">
        <v>7833</v>
      </c>
      <c r="G3211">
        <v>2</v>
      </c>
      <c r="H3211" t="s">
        <v>412</v>
      </c>
      <c r="I3211" t="s">
        <v>30</v>
      </c>
      <c r="J3211" t="s">
        <v>413</v>
      </c>
      <c r="K3211" t="s">
        <v>20</v>
      </c>
      <c r="L3211" t="s">
        <v>642</v>
      </c>
      <c r="M3211" s="3" t="str">
        <f>HYPERLINK("..\..\Imagery\ScannedPhotos\1991\DD91-097.2.jpg")</f>
        <v>..\..\Imagery\ScannedPhotos\1991\DD91-097.2.jpg</v>
      </c>
    </row>
    <row r="3212" spans="1:13" x14ac:dyDescent="0.25">
      <c r="A3212" t="s">
        <v>3939</v>
      </c>
      <c r="B3212">
        <v>547654</v>
      </c>
      <c r="C3212">
        <v>5822263</v>
      </c>
      <c r="D3212">
        <v>21</v>
      </c>
      <c r="E3212" t="s">
        <v>15</v>
      </c>
      <c r="F3212" t="s">
        <v>7834</v>
      </c>
      <c r="G3212">
        <v>1</v>
      </c>
      <c r="H3212" t="s">
        <v>656</v>
      </c>
      <c r="I3212" t="s">
        <v>41</v>
      </c>
      <c r="J3212" t="s">
        <v>657</v>
      </c>
      <c r="K3212" t="s">
        <v>228</v>
      </c>
      <c r="L3212" t="s">
        <v>7835</v>
      </c>
      <c r="M3212" s="3" t="str">
        <f>HYPERLINK("..\..\Imagery\ScannedPhotos\1986\CG86-088.3.jpg")</f>
        <v>..\..\Imagery\ScannedPhotos\1986\CG86-088.3.jpg</v>
      </c>
    </row>
    <row r="3213" spans="1:13" x14ac:dyDescent="0.25">
      <c r="A3213" t="s">
        <v>3939</v>
      </c>
      <c r="B3213">
        <v>547654</v>
      </c>
      <c r="C3213">
        <v>5822263</v>
      </c>
      <c r="D3213">
        <v>21</v>
      </c>
      <c r="E3213" t="s">
        <v>15</v>
      </c>
      <c r="F3213" t="s">
        <v>7836</v>
      </c>
      <c r="G3213">
        <v>1</v>
      </c>
      <c r="H3213" t="s">
        <v>656</v>
      </c>
      <c r="I3213" t="s">
        <v>69</v>
      </c>
      <c r="J3213" t="s">
        <v>657</v>
      </c>
      <c r="K3213" t="s">
        <v>535</v>
      </c>
      <c r="L3213" t="s">
        <v>7837</v>
      </c>
      <c r="M3213" s="3" t="str">
        <f>HYPERLINK("..\..\Imagery\ScannedPhotos\1986\CG86-088.1.jpg")</f>
        <v>..\..\Imagery\ScannedPhotos\1986\CG86-088.1.jpg</v>
      </c>
    </row>
    <row r="3214" spans="1:13" x14ac:dyDescent="0.25">
      <c r="A3214" t="s">
        <v>2150</v>
      </c>
      <c r="B3214">
        <v>572815</v>
      </c>
      <c r="C3214">
        <v>5876898</v>
      </c>
      <c r="D3214">
        <v>21</v>
      </c>
      <c r="E3214" t="s">
        <v>15</v>
      </c>
      <c r="F3214" t="s">
        <v>7838</v>
      </c>
      <c r="G3214">
        <v>6</v>
      </c>
      <c r="H3214" t="s">
        <v>1507</v>
      </c>
      <c r="I3214" t="s">
        <v>375</v>
      </c>
      <c r="J3214" t="s">
        <v>1508</v>
      </c>
      <c r="K3214" t="s">
        <v>20</v>
      </c>
      <c r="L3214" t="s">
        <v>4757</v>
      </c>
      <c r="M3214" s="3" t="str">
        <f>HYPERLINK("..\..\Imagery\ScannedPhotos\1985\GM85-476.5.jpg")</f>
        <v>..\..\Imagery\ScannedPhotos\1985\GM85-476.5.jpg</v>
      </c>
    </row>
    <row r="3215" spans="1:13" x14ac:dyDescent="0.25">
      <c r="A3215" t="s">
        <v>7839</v>
      </c>
      <c r="B3215">
        <v>532008</v>
      </c>
      <c r="C3215">
        <v>5941889</v>
      </c>
      <c r="D3215">
        <v>21</v>
      </c>
      <c r="E3215" t="s">
        <v>15</v>
      </c>
      <c r="F3215" t="s">
        <v>7840</v>
      </c>
      <c r="G3215">
        <v>1</v>
      </c>
      <c r="H3215" t="s">
        <v>817</v>
      </c>
      <c r="I3215" t="s">
        <v>69</v>
      </c>
      <c r="J3215" t="s">
        <v>48</v>
      </c>
      <c r="K3215" t="s">
        <v>20</v>
      </c>
      <c r="L3215" t="s">
        <v>7841</v>
      </c>
      <c r="M3215" s="3" t="str">
        <f>HYPERLINK("..\..\Imagery\ScannedPhotos\1981\VO81-564.jpg")</f>
        <v>..\..\Imagery\ScannedPhotos\1981\VO81-564.jpg</v>
      </c>
    </row>
    <row r="3216" spans="1:13" x14ac:dyDescent="0.25">
      <c r="A3216" t="s">
        <v>7842</v>
      </c>
      <c r="B3216">
        <v>423472</v>
      </c>
      <c r="C3216">
        <v>6010325</v>
      </c>
      <c r="D3216">
        <v>21</v>
      </c>
      <c r="E3216" t="s">
        <v>15</v>
      </c>
      <c r="F3216" t="s">
        <v>7843</v>
      </c>
      <c r="G3216">
        <v>1</v>
      </c>
      <c r="H3216" t="s">
        <v>758</v>
      </c>
      <c r="I3216" t="s">
        <v>281</v>
      </c>
      <c r="J3216" t="s">
        <v>759</v>
      </c>
      <c r="K3216" t="s">
        <v>20</v>
      </c>
      <c r="L3216" t="s">
        <v>7844</v>
      </c>
      <c r="M3216" s="3" t="str">
        <f>HYPERLINK("..\..\Imagery\ScannedPhotos\1980\RG80-048.jpg")</f>
        <v>..\..\Imagery\ScannedPhotos\1980\RG80-048.jpg</v>
      </c>
    </row>
    <row r="3217" spans="1:13" x14ac:dyDescent="0.25">
      <c r="A3217" t="s">
        <v>7845</v>
      </c>
      <c r="B3217">
        <v>424015</v>
      </c>
      <c r="C3217">
        <v>6010345</v>
      </c>
      <c r="D3217">
        <v>21</v>
      </c>
      <c r="E3217" t="s">
        <v>15</v>
      </c>
      <c r="F3217" t="s">
        <v>7846</v>
      </c>
      <c r="G3217">
        <v>5</v>
      </c>
      <c r="H3217" t="s">
        <v>758</v>
      </c>
      <c r="I3217" t="s">
        <v>35</v>
      </c>
      <c r="J3217" t="s">
        <v>759</v>
      </c>
      <c r="K3217" t="s">
        <v>20</v>
      </c>
      <c r="L3217" t="s">
        <v>7847</v>
      </c>
      <c r="M3217" s="3" t="str">
        <f>HYPERLINK("..\..\Imagery\ScannedPhotos\1980\RG80-049.3.jpg")</f>
        <v>..\..\Imagery\ScannedPhotos\1980\RG80-049.3.jpg</v>
      </c>
    </row>
    <row r="3218" spans="1:13" x14ac:dyDescent="0.25">
      <c r="A3218" t="s">
        <v>7845</v>
      </c>
      <c r="B3218">
        <v>424015</v>
      </c>
      <c r="C3218">
        <v>6010345</v>
      </c>
      <c r="D3218">
        <v>21</v>
      </c>
      <c r="E3218" t="s">
        <v>15</v>
      </c>
      <c r="F3218" t="s">
        <v>7848</v>
      </c>
      <c r="G3218">
        <v>5</v>
      </c>
      <c r="H3218" t="s">
        <v>758</v>
      </c>
      <c r="I3218" t="s">
        <v>18</v>
      </c>
      <c r="J3218" t="s">
        <v>759</v>
      </c>
      <c r="K3218" t="s">
        <v>20</v>
      </c>
      <c r="L3218" t="s">
        <v>7849</v>
      </c>
      <c r="M3218" s="3" t="str">
        <f>HYPERLINK("..\..\Imagery\ScannedPhotos\1980\RG80-049.2.jpg")</f>
        <v>..\..\Imagery\ScannedPhotos\1980\RG80-049.2.jpg</v>
      </c>
    </row>
    <row r="3219" spans="1:13" x14ac:dyDescent="0.25">
      <c r="A3219" t="s">
        <v>7845</v>
      </c>
      <c r="B3219">
        <v>424015</v>
      </c>
      <c r="C3219">
        <v>6010345</v>
      </c>
      <c r="D3219">
        <v>21</v>
      </c>
      <c r="E3219" t="s">
        <v>15</v>
      </c>
      <c r="F3219" t="s">
        <v>7850</v>
      </c>
      <c r="G3219">
        <v>5</v>
      </c>
      <c r="H3219" t="s">
        <v>758</v>
      </c>
      <c r="I3219" t="s">
        <v>69</v>
      </c>
      <c r="J3219" t="s">
        <v>759</v>
      </c>
      <c r="K3219" t="s">
        <v>20</v>
      </c>
      <c r="L3219" t="s">
        <v>7851</v>
      </c>
      <c r="M3219" s="3" t="str">
        <f>HYPERLINK("..\..\Imagery\ScannedPhotos\1980\RG80-049.4.jpg")</f>
        <v>..\..\Imagery\ScannedPhotos\1980\RG80-049.4.jpg</v>
      </c>
    </row>
    <row r="3220" spans="1:13" x14ac:dyDescent="0.25">
      <c r="A3220" t="s">
        <v>7845</v>
      </c>
      <c r="B3220">
        <v>424015</v>
      </c>
      <c r="C3220">
        <v>6010345</v>
      </c>
      <c r="D3220">
        <v>21</v>
      </c>
      <c r="E3220" t="s">
        <v>15</v>
      </c>
      <c r="F3220" t="s">
        <v>7852</v>
      </c>
      <c r="G3220">
        <v>5</v>
      </c>
      <c r="H3220" t="s">
        <v>758</v>
      </c>
      <c r="I3220" t="s">
        <v>137</v>
      </c>
      <c r="J3220" t="s">
        <v>759</v>
      </c>
      <c r="K3220" t="s">
        <v>20</v>
      </c>
      <c r="L3220" t="s">
        <v>7853</v>
      </c>
      <c r="M3220" s="3" t="str">
        <f>HYPERLINK("..\..\Imagery\ScannedPhotos\1980\RG80-049.1.jpg")</f>
        <v>..\..\Imagery\ScannedPhotos\1980\RG80-049.1.jpg</v>
      </c>
    </row>
    <row r="3221" spans="1:13" x14ac:dyDescent="0.25">
      <c r="A3221" t="s">
        <v>7810</v>
      </c>
      <c r="B3221">
        <v>450116</v>
      </c>
      <c r="C3221">
        <v>5892544</v>
      </c>
      <c r="D3221">
        <v>21</v>
      </c>
      <c r="E3221" t="s">
        <v>15</v>
      </c>
      <c r="F3221" t="s">
        <v>7854</v>
      </c>
      <c r="G3221">
        <v>3</v>
      </c>
      <c r="H3221" t="s">
        <v>6176</v>
      </c>
      <c r="I3221" t="s">
        <v>137</v>
      </c>
      <c r="J3221" t="s">
        <v>2247</v>
      </c>
      <c r="K3221" t="s">
        <v>56</v>
      </c>
      <c r="L3221" t="s">
        <v>7812</v>
      </c>
      <c r="M3221" s="3" t="str">
        <f>HYPERLINK("..\..\Imagery\ScannedPhotos\1984\NN84-218.1.jpg")</f>
        <v>..\..\Imagery\ScannedPhotos\1984\NN84-218.1.jpg</v>
      </c>
    </row>
    <row r="3222" spans="1:13" x14ac:dyDescent="0.25">
      <c r="A3222" t="s">
        <v>7414</v>
      </c>
      <c r="B3222">
        <v>578735</v>
      </c>
      <c r="C3222">
        <v>5918720</v>
      </c>
      <c r="D3222">
        <v>21</v>
      </c>
      <c r="E3222" t="s">
        <v>15</v>
      </c>
      <c r="F3222" t="s">
        <v>7855</v>
      </c>
      <c r="G3222">
        <v>2</v>
      </c>
      <c r="H3222" t="s">
        <v>2855</v>
      </c>
      <c r="I3222" t="s">
        <v>360</v>
      </c>
      <c r="J3222" t="s">
        <v>1583</v>
      </c>
      <c r="K3222" t="s">
        <v>20</v>
      </c>
      <c r="L3222" t="s">
        <v>7416</v>
      </c>
      <c r="M3222" s="3" t="str">
        <f>HYPERLINK("..\..\Imagery\ScannedPhotos\1985\CG85-598.1.jpg")</f>
        <v>..\..\Imagery\ScannedPhotos\1985\CG85-598.1.jpg</v>
      </c>
    </row>
    <row r="3223" spans="1:13" x14ac:dyDescent="0.25">
      <c r="A3223" t="s">
        <v>7856</v>
      </c>
      <c r="B3223">
        <v>576545</v>
      </c>
      <c r="C3223">
        <v>5919223</v>
      </c>
      <c r="D3223">
        <v>21</v>
      </c>
      <c r="E3223" t="s">
        <v>15</v>
      </c>
      <c r="F3223" t="s">
        <v>7857</v>
      </c>
      <c r="G3223">
        <v>1</v>
      </c>
      <c r="H3223" t="s">
        <v>2855</v>
      </c>
      <c r="I3223" t="s">
        <v>119</v>
      </c>
      <c r="J3223" t="s">
        <v>1583</v>
      </c>
      <c r="K3223" t="s">
        <v>56</v>
      </c>
      <c r="L3223" t="s">
        <v>7858</v>
      </c>
      <c r="M3223" s="3" t="str">
        <f>HYPERLINK("..\..\Imagery\ScannedPhotos\1985\CG85-605.jpg")</f>
        <v>..\..\Imagery\ScannedPhotos\1985\CG85-605.jpg</v>
      </c>
    </row>
    <row r="3224" spans="1:13" x14ac:dyDescent="0.25">
      <c r="A3224" t="s">
        <v>7859</v>
      </c>
      <c r="B3224">
        <v>576901</v>
      </c>
      <c r="C3224">
        <v>5919055</v>
      </c>
      <c r="D3224">
        <v>21</v>
      </c>
      <c r="E3224" t="s">
        <v>15</v>
      </c>
      <c r="F3224" t="s">
        <v>7860</v>
      </c>
      <c r="G3224">
        <v>1</v>
      </c>
      <c r="H3224" t="s">
        <v>2855</v>
      </c>
      <c r="I3224" t="s">
        <v>122</v>
      </c>
      <c r="J3224" t="s">
        <v>1583</v>
      </c>
      <c r="K3224" t="s">
        <v>56</v>
      </c>
      <c r="L3224" t="s">
        <v>7861</v>
      </c>
      <c r="M3224" s="3" t="str">
        <f>HYPERLINK("..\..\Imagery\ScannedPhotos\1985\CG85-606.jpg")</f>
        <v>..\..\Imagery\ScannedPhotos\1985\CG85-606.jpg</v>
      </c>
    </row>
    <row r="3225" spans="1:13" x14ac:dyDescent="0.25">
      <c r="A3225" t="s">
        <v>2853</v>
      </c>
      <c r="B3225">
        <v>578057</v>
      </c>
      <c r="C3225">
        <v>5918428</v>
      </c>
      <c r="D3225">
        <v>21</v>
      </c>
      <c r="E3225" t="s">
        <v>15</v>
      </c>
      <c r="F3225" t="s">
        <v>7862</v>
      </c>
      <c r="G3225">
        <v>8</v>
      </c>
      <c r="H3225" t="s">
        <v>2855</v>
      </c>
      <c r="I3225" t="s">
        <v>52</v>
      </c>
      <c r="J3225" t="s">
        <v>1583</v>
      </c>
      <c r="K3225" t="s">
        <v>20</v>
      </c>
      <c r="L3225" t="s">
        <v>838</v>
      </c>
      <c r="M3225" s="3" t="str">
        <f>HYPERLINK("..\..\Imagery\ScannedPhotos\1985\CG85-608.8.jpg")</f>
        <v>..\..\Imagery\ScannedPhotos\1985\CG85-608.8.jpg</v>
      </c>
    </row>
    <row r="3226" spans="1:13" x14ac:dyDescent="0.25">
      <c r="A3226" t="s">
        <v>2853</v>
      </c>
      <c r="B3226">
        <v>578057</v>
      </c>
      <c r="C3226">
        <v>5918428</v>
      </c>
      <c r="D3226">
        <v>21</v>
      </c>
      <c r="E3226" t="s">
        <v>15</v>
      </c>
      <c r="F3226" t="s">
        <v>7863</v>
      </c>
      <c r="G3226">
        <v>8</v>
      </c>
      <c r="H3226" t="s">
        <v>2855</v>
      </c>
      <c r="I3226" t="s">
        <v>147</v>
      </c>
      <c r="J3226" t="s">
        <v>1583</v>
      </c>
      <c r="K3226" t="s">
        <v>20</v>
      </c>
      <c r="L3226" t="s">
        <v>838</v>
      </c>
      <c r="M3226" s="3" t="str">
        <f>HYPERLINK("..\..\Imagery\ScannedPhotos\1985\CG85-608.6.jpg")</f>
        <v>..\..\Imagery\ScannedPhotos\1985\CG85-608.6.jpg</v>
      </c>
    </row>
    <row r="3227" spans="1:13" x14ac:dyDescent="0.25">
      <c r="A3227" t="s">
        <v>2853</v>
      </c>
      <c r="B3227">
        <v>578057</v>
      </c>
      <c r="C3227">
        <v>5918428</v>
      </c>
      <c r="D3227">
        <v>21</v>
      </c>
      <c r="E3227" t="s">
        <v>15</v>
      </c>
      <c r="F3227" t="s">
        <v>7864</v>
      </c>
      <c r="G3227">
        <v>8</v>
      </c>
      <c r="H3227" t="s">
        <v>2855</v>
      </c>
      <c r="I3227" t="s">
        <v>47</v>
      </c>
      <c r="J3227" t="s">
        <v>1583</v>
      </c>
      <c r="K3227" t="s">
        <v>20</v>
      </c>
      <c r="L3227" t="s">
        <v>838</v>
      </c>
      <c r="M3227" s="3" t="str">
        <f>HYPERLINK("..\..\Imagery\ScannedPhotos\1985\CG85-608.7.jpg")</f>
        <v>..\..\Imagery\ScannedPhotos\1985\CG85-608.7.jpg</v>
      </c>
    </row>
    <row r="3228" spans="1:13" x14ac:dyDescent="0.25">
      <c r="A3228" t="s">
        <v>2853</v>
      </c>
      <c r="B3228">
        <v>578057</v>
      </c>
      <c r="C3228">
        <v>5918428</v>
      </c>
      <c r="D3228">
        <v>21</v>
      </c>
      <c r="E3228" t="s">
        <v>15</v>
      </c>
      <c r="F3228" t="s">
        <v>7865</v>
      </c>
      <c r="G3228">
        <v>8</v>
      </c>
      <c r="H3228" t="s">
        <v>2855</v>
      </c>
      <c r="I3228" t="s">
        <v>126</v>
      </c>
      <c r="J3228" t="s">
        <v>1583</v>
      </c>
      <c r="K3228" t="s">
        <v>56</v>
      </c>
      <c r="L3228" t="s">
        <v>2858</v>
      </c>
      <c r="M3228" s="3" t="str">
        <f>HYPERLINK("..\..\Imagery\ScannedPhotos\1985\CG85-608.1.jpg")</f>
        <v>..\..\Imagery\ScannedPhotos\1985\CG85-608.1.jpg</v>
      </c>
    </row>
    <row r="3229" spans="1:13" x14ac:dyDescent="0.25">
      <c r="A3229" t="s">
        <v>2853</v>
      </c>
      <c r="B3229">
        <v>578057</v>
      </c>
      <c r="C3229">
        <v>5918428</v>
      </c>
      <c r="D3229">
        <v>21</v>
      </c>
      <c r="E3229" t="s">
        <v>15</v>
      </c>
      <c r="F3229" t="s">
        <v>7866</v>
      </c>
      <c r="G3229">
        <v>8</v>
      </c>
      <c r="H3229" t="s">
        <v>2855</v>
      </c>
      <c r="I3229" t="s">
        <v>108</v>
      </c>
      <c r="J3229" t="s">
        <v>1583</v>
      </c>
      <c r="K3229" t="s">
        <v>56</v>
      </c>
      <c r="L3229" t="s">
        <v>2858</v>
      </c>
      <c r="M3229" s="3" t="str">
        <f>HYPERLINK("..\..\Imagery\ScannedPhotos\1985\CG85-608.2.jpg")</f>
        <v>..\..\Imagery\ScannedPhotos\1985\CG85-608.2.jpg</v>
      </c>
    </row>
    <row r="3230" spans="1:13" x14ac:dyDescent="0.25">
      <c r="A3230" t="s">
        <v>4834</v>
      </c>
      <c r="B3230">
        <v>489300</v>
      </c>
      <c r="C3230">
        <v>5829425</v>
      </c>
      <c r="D3230">
        <v>21</v>
      </c>
      <c r="E3230" t="s">
        <v>15</v>
      </c>
      <c r="F3230" t="s">
        <v>7867</v>
      </c>
      <c r="G3230">
        <v>2</v>
      </c>
      <c r="H3230" t="s">
        <v>2789</v>
      </c>
      <c r="I3230" t="s">
        <v>74</v>
      </c>
      <c r="J3230" t="s">
        <v>413</v>
      </c>
      <c r="K3230" t="s">
        <v>20</v>
      </c>
      <c r="L3230" t="s">
        <v>7868</v>
      </c>
      <c r="M3230" s="3" t="str">
        <f>HYPERLINK("..\..\Imagery\ScannedPhotos\1991\VN91-124.2.jpg")</f>
        <v>..\..\Imagery\ScannedPhotos\1991\VN91-124.2.jpg</v>
      </c>
    </row>
    <row r="3231" spans="1:13" x14ac:dyDescent="0.25">
      <c r="A3231" t="s">
        <v>7869</v>
      </c>
      <c r="B3231">
        <v>488925</v>
      </c>
      <c r="C3231">
        <v>5829265</v>
      </c>
      <c r="D3231">
        <v>21</v>
      </c>
      <c r="E3231" t="s">
        <v>15</v>
      </c>
      <c r="F3231" t="s">
        <v>7870</v>
      </c>
      <c r="G3231">
        <v>1</v>
      </c>
      <c r="H3231" t="s">
        <v>2789</v>
      </c>
      <c r="I3231" t="s">
        <v>41</v>
      </c>
      <c r="J3231" t="s">
        <v>413</v>
      </c>
      <c r="K3231" t="s">
        <v>20</v>
      </c>
      <c r="L3231" t="s">
        <v>7871</v>
      </c>
      <c r="M3231" s="3" t="str">
        <f>HYPERLINK("..\..\Imagery\ScannedPhotos\1991\VN91-125.jpg")</f>
        <v>..\..\Imagery\ScannedPhotos\1991\VN91-125.jpg</v>
      </c>
    </row>
    <row r="3232" spans="1:13" x14ac:dyDescent="0.25">
      <c r="A3232" t="s">
        <v>7872</v>
      </c>
      <c r="B3232">
        <v>377998</v>
      </c>
      <c r="C3232">
        <v>6080382</v>
      </c>
      <c r="D3232">
        <v>21</v>
      </c>
      <c r="E3232" t="s">
        <v>15</v>
      </c>
      <c r="F3232" t="s">
        <v>7873</v>
      </c>
      <c r="G3232">
        <v>2</v>
      </c>
      <c r="H3232" t="s">
        <v>2011</v>
      </c>
      <c r="I3232" t="s">
        <v>35</v>
      </c>
      <c r="J3232" t="s">
        <v>1624</v>
      </c>
      <c r="K3232" t="s">
        <v>56</v>
      </c>
      <c r="L3232" t="s">
        <v>7874</v>
      </c>
      <c r="M3232" s="3" t="str">
        <f>HYPERLINK("..\..\Imagery\ScannedPhotos\1978\AL78-135.1.jpg")</f>
        <v>..\..\Imagery\ScannedPhotos\1978\AL78-135.1.jpg</v>
      </c>
    </row>
    <row r="3233" spans="1:13" x14ac:dyDescent="0.25">
      <c r="A3233" t="s">
        <v>7875</v>
      </c>
      <c r="B3233">
        <v>404996</v>
      </c>
      <c r="C3233">
        <v>6070070</v>
      </c>
      <c r="D3233">
        <v>21</v>
      </c>
      <c r="E3233" t="s">
        <v>15</v>
      </c>
      <c r="F3233" t="s">
        <v>7876</v>
      </c>
      <c r="G3233">
        <v>7</v>
      </c>
      <c r="H3233" t="s">
        <v>1872</v>
      </c>
      <c r="I3233" t="s">
        <v>79</v>
      </c>
      <c r="J3233" t="s">
        <v>1873</v>
      </c>
      <c r="K3233" t="s">
        <v>535</v>
      </c>
      <c r="L3233" t="s">
        <v>3286</v>
      </c>
      <c r="M3233" s="3" t="str">
        <f>HYPERLINK("..\..\Imagery\ScannedPhotos\1979\CG79-001.1.jpg")</f>
        <v>..\..\Imagery\ScannedPhotos\1979\CG79-001.1.jpg</v>
      </c>
    </row>
    <row r="3234" spans="1:13" x14ac:dyDescent="0.25">
      <c r="A3234" t="s">
        <v>7875</v>
      </c>
      <c r="B3234">
        <v>404996</v>
      </c>
      <c r="C3234">
        <v>6070070</v>
      </c>
      <c r="D3234">
        <v>21</v>
      </c>
      <c r="E3234" t="s">
        <v>15</v>
      </c>
      <c r="F3234" t="s">
        <v>7877</v>
      </c>
      <c r="G3234">
        <v>7</v>
      </c>
      <c r="H3234" t="s">
        <v>1872</v>
      </c>
      <c r="I3234" t="s">
        <v>137</v>
      </c>
      <c r="J3234" t="s">
        <v>1873</v>
      </c>
      <c r="K3234" t="s">
        <v>56</v>
      </c>
      <c r="L3234" t="s">
        <v>7878</v>
      </c>
      <c r="M3234" s="3" t="str">
        <f>HYPERLINK("..\..\Imagery\ScannedPhotos\1979\CG79-001.3.jpg")</f>
        <v>..\..\Imagery\ScannedPhotos\1979\CG79-001.3.jpg</v>
      </c>
    </row>
    <row r="3235" spans="1:13" x14ac:dyDescent="0.25">
      <c r="A3235" t="s">
        <v>7875</v>
      </c>
      <c r="B3235">
        <v>404996</v>
      </c>
      <c r="C3235">
        <v>6070070</v>
      </c>
      <c r="D3235">
        <v>21</v>
      </c>
      <c r="E3235" t="s">
        <v>15</v>
      </c>
      <c r="F3235" t="s">
        <v>7879</v>
      </c>
      <c r="G3235">
        <v>7</v>
      </c>
      <c r="H3235" t="s">
        <v>1872</v>
      </c>
      <c r="I3235" t="s">
        <v>18</v>
      </c>
      <c r="J3235" t="s">
        <v>1873</v>
      </c>
      <c r="K3235" t="s">
        <v>56</v>
      </c>
      <c r="L3235" t="s">
        <v>7880</v>
      </c>
      <c r="M3235" s="3" t="str">
        <f>HYPERLINK("..\..\Imagery\ScannedPhotos\1979\CG79-001.4.jpg")</f>
        <v>..\..\Imagery\ScannedPhotos\1979\CG79-001.4.jpg</v>
      </c>
    </row>
    <row r="3236" spans="1:13" x14ac:dyDescent="0.25">
      <c r="A3236" t="s">
        <v>7875</v>
      </c>
      <c r="B3236">
        <v>404996</v>
      </c>
      <c r="C3236">
        <v>6070070</v>
      </c>
      <c r="D3236">
        <v>21</v>
      </c>
      <c r="E3236" t="s">
        <v>15</v>
      </c>
      <c r="F3236" t="s">
        <v>7881</v>
      </c>
      <c r="G3236">
        <v>7</v>
      </c>
      <c r="H3236" t="s">
        <v>1872</v>
      </c>
      <c r="I3236" t="s">
        <v>69</v>
      </c>
      <c r="J3236" t="s">
        <v>1873</v>
      </c>
      <c r="K3236" t="s">
        <v>20</v>
      </c>
      <c r="L3236" t="s">
        <v>7882</v>
      </c>
      <c r="M3236" s="3" t="str">
        <f>HYPERLINK("..\..\Imagery\ScannedPhotos\1979\CG79-001.6.jpg")</f>
        <v>..\..\Imagery\ScannedPhotos\1979\CG79-001.6.jpg</v>
      </c>
    </row>
    <row r="3237" spans="1:13" x14ac:dyDescent="0.25">
      <c r="A3237" t="s">
        <v>7883</v>
      </c>
      <c r="B3237">
        <v>401229</v>
      </c>
      <c r="C3237">
        <v>6072412</v>
      </c>
      <c r="D3237">
        <v>21</v>
      </c>
      <c r="E3237" t="s">
        <v>15</v>
      </c>
      <c r="F3237" t="s">
        <v>7884</v>
      </c>
      <c r="G3237">
        <v>3</v>
      </c>
      <c r="H3237" t="s">
        <v>1872</v>
      </c>
      <c r="I3237" t="s">
        <v>41</v>
      </c>
      <c r="J3237" t="s">
        <v>1873</v>
      </c>
      <c r="K3237" t="s">
        <v>20</v>
      </c>
      <c r="L3237" t="s">
        <v>7885</v>
      </c>
      <c r="M3237" s="3" t="str">
        <f>HYPERLINK("..\..\Imagery\ScannedPhotos\1979\CG79-002.2.jpg")</f>
        <v>..\..\Imagery\ScannedPhotos\1979\CG79-002.2.jpg</v>
      </c>
    </row>
    <row r="3238" spans="1:13" x14ac:dyDescent="0.25">
      <c r="A3238" t="s">
        <v>7883</v>
      </c>
      <c r="B3238">
        <v>401229</v>
      </c>
      <c r="C3238">
        <v>6072412</v>
      </c>
      <c r="D3238">
        <v>21</v>
      </c>
      <c r="E3238" t="s">
        <v>15</v>
      </c>
      <c r="F3238" t="s">
        <v>7886</v>
      </c>
      <c r="G3238">
        <v>3</v>
      </c>
      <c r="H3238" t="s">
        <v>1872</v>
      </c>
      <c r="I3238" t="s">
        <v>85</v>
      </c>
      <c r="J3238" t="s">
        <v>1873</v>
      </c>
      <c r="K3238" t="s">
        <v>20</v>
      </c>
      <c r="L3238" t="s">
        <v>7887</v>
      </c>
      <c r="M3238" s="3" t="str">
        <f>HYPERLINK("..\..\Imagery\ScannedPhotos\1979\CG79-002.3.jpg")</f>
        <v>..\..\Imagery\ScannedPhotos\1979\CG79-002.3.jpg</v>
      </c>
    </row>
    <row r="3239" spans="1:13" x14ac:dyDescent="0.25">
      <c r="A3239" t="s">
        <v>7888</v>
      </c>
      <c r="B3239">
        <v>591029</v>
      </c>
      <c r="C3239">
        <v>5812002</v>
      </c>
      <c r="D3239">
        <v>21</v>
      </c>
      <c r="E3239" t="s">
        <v>15</v>
      </c>
      <c r="F3239" t="s">
        <v>7889</v>
      </c>
      <c r="G3239">
        <v>1</v>
      </c>
      <c r="H3239" t="s">
        <v>2916</v>
      </c>
      <c r="I3239" t="s">
        <v>214</v>
      </c>
      <c r="J3239" t="s">
        <v>797</v>
      </c>
      <c r="K3239" t="s">
        <v>20</v>
      </c>
      <c r="L3239" t="s">
        <v>7890</v>
      </c>
      <c r="M3239" s="3" t="str">
        <f>HYPERLINK("..\..\Imagery\ScannedPhotos\1987\VN87-284.jpg")</f>
        <v>..\..\Imagery\ScannedPhotos\1987\VN87-284.jpg</v>
      </c>
    </row>
    <row r="3240" spans="1:13" x14ac:dyDescent="0.25">
      <c r="A3240" t="s">
        <v>7891</v>
      </c>
      <c r="B3240">
        <v>525345</v>
      </c>
      <c r="C3240">
        <v>5742706</v>
      </c>
      <c r="D3240">
        <v>21</v>
      </c>
      <c r="E3240" t="s">
        <v>15</v>
      </c>
      <c r="F3240" t="s">
        <v>7892</v>
      </c>
      <c r="G3240">
        <v>2</v>
      </c>
      <c r="H3240" t="s">
        <v>995</v>
      </c>
      <c r="I3240" t="s">
        <v>281</v>
      </c>
      <c r="J3240" t="s">
        <v>996</v>
      </c>
      <c r="K3240" t="s">
        <v>56</v>
      </c>
      <c r="L3240" t="s">
        <v>7893</v>
      </c>
      <c r="M3240" s="3" t="str">
        <f>HYPERLINK("..\..\Imagery\ScannedPhotos\1993\CG93-697.2.jpg")</f>
        <v>..\..\Imagery\ScannedPhotos\1993\CG93-697.2.jpg</v>
      </c>
    </row>
    <row r="3241" spans="1:13" x14ac:dyDescent="0.25">
      <c r="A3241" t="s">
        <v>993</v>
      </c>
      <c r="B3241">
        <v>525211</v>
      </c>
      <c r="C3241">
        <v>5743163</v>
      </c>
      <c r="D3241">
        <v>21</v>
      </c>
      <c r="E3241" t="s">
        <v>15</v>
      </c>
      <c r="F3241" t="s">
        <v>7894</v>
      </c>
      <c r="G3241">
        <v>7</v>
      </c>
      <c r="H3241" t="s">
        <v>995</v>
      </c>
      <c r="I3241" t="s">
        <v>52</v>
      </c>
      <c r="J3241" t="s">
        <v>996</v>
      </c>
      <c r="K3241" t="s">
        <v>56</v>
      </c>
      <c r="L3241" t="s">
        <v>1000</v>
      </c>
      <c r="M3241" s="3" t="str">
        <f>HYPERLINK("..\..\Imagery\ScannedPhotos\1993\CG93-698.7.jpg")</f>
        <v>..\..\Imagery\ScannedPhotos\1993\CG93-698.7.jpg</v>
      </c>
    </row>
    <row r="3242" spans="1:13" x14ac:dyDescent="0.25">
      <c r="A3242" t="s">
        <v>7895</v>
      </c>
      <c r="B3242">
        <v>515868</v>
      </c>
      <c r="C3242">
        <v>5788737</v>
      </c>
      <c r="D3242">
        <v>21</v>
      </c>
      <c r="E3242" t="s">
        <v>15</v>
      </c>
      <c r="F3242" t="s">
        <v>7896</v>
      </c>
      <c r="G3242">
        <v>1</v>
      </c>
      <c r="H3242" t="s">
        <v>2106</v>
      </c>
      <c r="I3242" t="s">
        <v>35</v>
      </c>
      <c r="J3242" t="s">
        <v>2107</v>
      </c>
      <c r="K3242" t="s">
        <v>56</v>
      </c>
      <c r="L3242" t="s">
        <v>5890</v>
      </c>
      <c r="M3242" s="3" t="str">
        <f>HYPERLINK("..\..\Imagery\ScannedPhotos\1987\CG87-043.jpg")</f>
        <v>..\..\Imagery\ScannedPhotos\1987\CG87-043.jpg</v>
      </c>
    </row>
    <row r="3243" spans="1:13" x14ac:dyDescent="0.25">
      <c r="A3243" t="s">
        <v>7897</v>
      </c>
      <c r="B3243">
        <v>559190</v>
      </c>
      <c r="C3243">
        <v>5814558</v>
      </c>
      <c r="D3243">
        <v>21</v>
      </c>
      <c r="E3243" t="s">
        <v>15</v>
      </c>
      <c r="F3243" t="s">
        <v>7898</v>
      </c>
      <c r="G3243">
        <v>1</v>
      </c>
      <c r="H3243" t="s">
        <v>2106</v>
      </c>
      <c r="I3243" t="s">
        <v>74</v>
      </c>
      <c r="J3243" t="s">
        <v>2107</v>
      </c>
      <c r="K3243" t="s">
        <v>56</v>
      </c>
      <c r="L3243" t="s">
        <v>7899</v>
      </c>
      <c r="M3243" s="3" t="str">
        <f>HYPERLINK("..\..\Imagery\ScannedPhotos\1987\CG87-051.jpg")</f>
        <v>..\..\Imagery\ScannedPhotos\1987\CG87-051.jpg</v>
      </c>
    </row>
    <row r="3244" spans="1:13" x14ac:dyDescent="0.25">
      <c r="A3244" t="s">
        <v>1788</v>
      </c>
      <c r="B3244">
        <v>494000</v>
      </c>
      <c r="C3244">
        <v>5719100</v>
      </c>
      <c r="D3244">
        <v>21</v>
      </c>
      <c r="E3244" t="s">
        <v>15</v>
      </c>
      <c r="F3244" t="s">
        <v>7900</v>
      </c>
      <c r="G3244">
        <v>2</v>
      </c>
      <c r="H3244" t="s">
        <v>1784</v>
      </c>
      <c r="I3244" t="s">
        <v>147</v>
      </c>
      <c r="J3244" t="s">
        <v>1738</v>
      </c>
      <c r="K3244" t="s">
        <v>56</v>
      </c>
      <c r="L3244" t="s">
        <v>1790</v>
      </c>
      <c r="M3244" s="3" t="str">
        <f>HYPERLINK("..\..\Imagery\ScannedPhotos\1993\VN93-320.2.jpg")</f>
        <v>..\..\Imagery\ScannedPhotos\1993\VN93-320.2.jpg</v>
      </c>
    </row>
    <row r="3245" spans="1:13" x14ac:dyDescent="0.25">
      <c r="A3245" t="s">
        <v>7106</v>
      </c>
      <c r="B3245">
        <v>423527</v>
      </c>
      <c r="C3245">
        <v>5994605</v>
      </c>
      <c r="D3245">
        <v>21</v>
      </c>
      <c r="E3245" t="s">
        <v>15</v>
      </c>
      <c r="F3245" t="s">
        <v>7901</v>
      </c>
      <c r="G3245">
        <v>2</v>
      </c>
      <c r="H3245" t="s">
        <v>972</v>
      </c>
      <c r="I3245" t="s">
        <v>647</v>
      </c>
      <c r="J3245" t="s">
        <v>807</v>
      </c>
      <c r="K3245" t="s">
        <v>20</v>
      </c>
      <c r="L3245" t="s">
        <v>7902</v>
      </c>
      <c r="M3245" s="3" t="str">
        <f>HYPERLINK("..\..\Imagery\ScannedPhotos\1980\RG80-203.2.jpg")</f>
        <v>..\..\Imagery\ScannedPhotos\1980\RG80-203.2.jpg</v>
      </c>
    </row>
    <row r="3246" spans="1:13" x14ac:dyDescent="0.25">
      <c r="A3246" t="s">
        <v>7903</v>
      </c>
      <c r="B3246">
        <v>413662</v>
      </c>
      <c r="C3246">
        <v>5998050</v>
      </c>
      <c r="D3246">
        <v>21</v>
      </c>
      <c r="E3246" t="s">
        <v>15</v>
      </c>
      <c r="F3246" t="s">
        <v>7904</v>
      </c>
      <c r="G3246">
        <v>1</v>
      </c>
      <c r="H3246" t="s">
        <v>972</v>
      </c>
      <c r="I3246" t="s">
        <v>30</v>
      </c>
      <c r="J3246" t="s">
        <v>807</v>
      </c>
      <c r="K3246" t="s">
        <v>20</v>
      </c>
      <c r="L3246" t="s">
        <v>7905</v>
      </c>
      <c r="M3246" s="3" t="str">
        <f>HYPERLINK("..\..\Imagery\ScannedPhotos\1980\RG80-214.jpg")</f>
        <v>..\..\Imagery\ScannedPhotos\1980\RG80-214.jpg</v>
      </c>
    </row>
    <row r="3247" spans="1:13" x14ac:dyDescent="0.25">
      <c r="A3247" t="s">
        <v>7906</v>
      </c>
      <c r="B3247">
        <v>403430</v>
      </c>
      <c r="C3247">
        <v>5992015</v>
      </c>
      <c r="D3247">
        <v>21</v>
      </c>
      <c r="E3247" t="s">
        <v>15</v>
      </c>
      <c r="F3247" t="s">
        <v>7907</v>
      </c>
      <c r="G3247">
        <v>2</v>
      </c>
      <c r="H3247" t="s">
        <v>972</v>
      </c>
      <c r="I3247" t="s">
        <v>114</v>
      </c>
      <c r="J3247" t="s">
        <v>807</v>
      </c>
      <c r="K3247" t="s">
        <v>20</v>
      </c>
      <c r="L3247" t="s">
        <v>7908</v>
      </c>
      <c r="M3247" s="3" t="str">
        <f>HYPERLINK("..\..\Imagery\ScannedPhotos\1980\RG80-241.1.jpg")</f>
        <v>..\..\Imagery\ScannedPhotos\1980\RG80-241.1.jpg</v>
      </c>
    </row>
    <row r="3248" spans="1:13" x14ac:dyDescent="0.25">
      <c r="A3248" t="s">
        <v>7906</v>
      </c>
      <c r="B3248">
        <v>403430</v>
      </c>
      <c r="C3248">
        <v>5992015</v>
      </c>
      <c r="D3248">
        <v>21</v>
      </c>
      <c r="E3248" t="s">
        <v>15</v>
      </c>
      <c r="F3248" t="s">
        <v>7909</v>
      </c>
      <c r="G3248">
        <v>2</v>
      </c>
      <c r="H3248" t="s">
        <v>972</v>
      </c>
      <c r="I3248" t="s">
        <v>119</v>
      </c>
      <c r="J3248" t="s">
        <v>807</v>
      </c>
      <c r="K3248" t="s">
        <v>20</v>
      </c>
      <c r="L3248" t="s">
        <v>7910</v>
      </c>
      <c r="M3248" s="3" t="str">
        <f>HYPERLINK("..\..\Imagery\ScannedPhotos\1980\RG80-241.2.jpg")</f>
        <v>..\..\Imagery\ScannedPhotos\1980\RG80-241.2.jpg</v>
      </c>
    </row>
    <row r="3249" spans="1:13" x14ac:dyDescent="0.25">
      <c r="A3249" t="s">
        <v>7911</v>
      </c>
      <c r="B3249">
        <v>421222</v>
      </c>
      <c r="C3249">
        <v>5995027</v>
      </c>
      <c r="D3249">
        <v>21</v>
      </c>
      <c r="E3249" t="s">
        <v>15</v>
      </c>
      <c r="F3249" t="s">
        <v>7912</v>
      </c>
      <c r="G3249">
        <v>1</v>
      </c>
      <c r="H3249" t="s">
        <v>972</v>
      </c>
      <c r="I3249" t="s">
        <v>147</v>
      </c>
      <c r="J3249" t="s">
        <v>807</v>
      </c>
      <c r="K3249" t="s">
        <v>20</v>
      </c>
      <c r="L3249" t="s">
        <v>1020</v>
      </c>
      <c r="M3249" s="3" t="str">
        <f>HYPERLINK("..\..\Imagery\ScannedPhotos\1980\RG80-292.jpg")</f>
        <v>..\..\Imagery\ScannedPhotos\1980\RG80-292.jpg</v>
      </c>
    </row>
    <row r="3250" spans="1:13" x14ac:dyDescent="0.25">
      <c r="A3250" t="s">
        <v>7913</v>
      </c>
      <c r="B3250">
        <v>429796</v>
      </c>
      <c r="C3250">
        <v>6001325</v>
      </c>
      <c r="D3250">
        <v>21</v>
      </c>
      <c r="E3250" t="s">
        <v>15</v>
      </c>
      <c r="F3250" t="s">
        <v>7914</v>
      </c>
      <c r="G3250">
        <v>1</v>
      </c>
      <c r="H3250" t="s">
        <v>972</v>
      </c>
      <c r="I3250" t="s">
        <v>47</v>
      </c>
      <c r="J3250" t="s">
        <v>807</v>
      </c>
      <c r="K3250" t="s">
        <v>20</v>
      </c>
      <c r="L3250" t="s">
        <v>1020</v>
      </c>
      <c r="M3250" s="3" t="str">
        <f>HYPERLINK("..\..\Imagery\ScannedPhotos\1980\RG80-298.jpg")</f>
        <v>..\..\Imagery\ScannedPhotos\1980\RG80-298.jpg</v>
      </c>
    </row>
    <row r="3251" spans="1:13" x14ac:dyDescent="0.25">
      <c r="A3251" t="s">
        <v>7915</v>
      </c>
      <c r="B3251">
        <v>465894</v>
      </c>
      <c r="C3251">
        <v>5902169</v>
      </c>
      <c r="D3251">
        <v>21</v>
      </c>
      <c r="E3251" t="s">
        <v>15</v>
      </c>
      <c r="F3251" t="s">
        <v>7916</v>
      </c>
      <c r="G3251">
        <v>4</v>
      </c>
      <c r="H3251" t="s">
        <v>2995</v>
      </c>
      <c r="I3251" t="s">
        <v>47</v>
      </c>
      <c r="J3251" t="s">
        <v>156</v>
      </c>
      <c r="K3251" t="s">
        <v>20</v>
      </c>
      <c r="L3251" t="s">
        <v>7917</v>
      </c>
      <c r="M3251" s="3" t="str">
        <f>HYPERLINK("..\..\Imagery\ScannedPhotos\1984\VN84-439.3.jpg")</f>
        <v>..\..\Imagery\ScannedPhotos\1984\VN84-439.3.jpg</v>
      </c>
    </row>
    <row r="3252" spans="1:13" x14ac:dyDescent="0.25">
      <c r="A3252" t="s">
        <v>7918</v>
      </c>
      <c r="B3252">
        <v>464514</v>
      </c>
      <c r="C3252">
        <v>5900751</v>
      </c>
      <c r="D3252">
        <v>21</v>
      </c>
      <c r="E3252" t="s">
        <v>15</v>
      </c>
      <c r="F3252" t="s">
        <v>7919</v>
      </c>
      <c r="G3252">
        <v>1</v>
      </c>
      <c r="H3252" t="s">
        <v>2995</v>
      </c>
      <c r="I3252" t="s">
        <v>65</v>
      </c>
      <c r="J3252" t="s">
        <v>156</v>
      </c>
      <c r="K3252" t="s">
        <v>20</v>
      </c>
      <c r="L3252" t="s">
        <v>2573</v>
      </c>
      <c r="M3252" s="3" t="str">
        <f>HYPERLINK("..\..\Imagery\ScannedPhotos\1984\VN84-441.jpg")</f>
        <v>..\..\Imagery\ScannedPhotos\1984\VN84-441.jpg</v>
      </c>
    </row>
    <row r="3253" spans="1:13" x14ac:dyDescent="0.25">
      <c r="A3253" t="s">
        <v>7920</v>
      </c>
      <c r="B3253">
        <v>462415</v>
      </c>
      <c r="C3253">
        <v>5898962</v>
      </c>
      <c r="D3253">
        <v>21</v>
      </c>
      <c r="E3253" t="s">
        <v>15</v>
      </c>
      <c r="F3253" t="s">
        <v>7921</v>
      </c>
      <c r="G3253">
        <v>2</v>
      </c>
      <c r="H3253" t="s">
        <v>2395</v>
      </c>
      <c r="I3253" t="s">
        <v>79</v>
      </c>
      <c r="J3253" t="s">
        <v>2247</v>
      </c>
      <c r="K3253" t="s">
        <v>20</v>
      </c>
      <c r="L3253" t="s">
        <v>7922</v>
      </c>
      <c r="M3253" s="3" t="str">
        <f>HYPERLINK("..\..\Imagery\ScannedPhotos\1984\VN84-450.2.jpg")</f>
        <v>..\..\Imagery\ScannedPhotos\1984\VN84-450.2.jpg</v>
      </c>
    </row>
    <row r="3254" spans="1:13" x14ac:dyDescent="0.25">
      <c r="A3254" t="s">
        <v>7920</v>
      </c>
      <c r="B3254">
        <v>462415</v>
      </c>
      <c r="C3254">
        <v>5898962</v>
      </c>
      <c r="D3254">
        <v>21</v>
      </c>
      <c r="E3254" t="s">
        <v>15</v>
      </c>
      <c r="F3254" t="s">
        <v>7923</v>
      </c>
      <c r="G3254">
        <v>2</v>
      </c>
      <c r="H3254" t="s">
        <v>2395</v>
      </c>
      <c r="I3254" t="s">
        <v>294</v>
      </c>
      <c r="J3254" t="s">
        <v>2247</v>
      </c>
      <c r="K3254" t="s">
        <v>20</v>
      </c>
      <c r="L3254" t="s">
        <v>1574</v>
      </c>
      <c r="M3254" s="3" t="str">
        <f>HYPERLINK("..\..\Imagery\ScannedPhotos\1984\VN84-450.1.jpg")</f>
        <v>..\..\Imagery\ScannedPhotos\1984\VN84-450.1.jpg</v>
      </c>
    </row>
    <row r="3255" spans="1:13" x14ac:dyDescent="0.25">
      <c r="A3255" t="s">
        <v>7924</v>
      </c>
      <c r="B3255">
        <v>462308</v>
      </c>
      <c r="C3255">
        <v>5898924</v>
      </c>
      <c r="D3255">
        <v>21</v>
      </c>
      <c r="E3255" t="s">
        <v>15</v>
      </c>
      <c r="F3255" t="s">
        <v>7925</v>
      </c>
      <c r="G3255">
        <v>1</v>
      </c>
      <c r="H3255" t="s">
        <v>2395</v>
      </c>
      <c r="I3255" t="s">
        <v>281</v>
      </c>
      <c r="J3255" t="s">
        <v>2247</v>
      </c>
      <c r="K3255" t="s">
        <v>20</v>
      </c>
      <c r="L3255" t="s">
        <v>7926</v>
      </c>
      <c r="M3255" s="3" t="str">
        <f>HYPERLINK("..\..\Imagery\ScannedPhotos\1984\VN84-451.jpg")</f>
        <v>..\..\Imagery\ScannedPhotos\1984\VN84-451.jpg</v>
      </c>
    </row>
    <row r="3256" spans="1:13" x14ac:dyDescent="0.25">
      <c r="A3256" t="s">
        <v>6126</v>
      </c>
      <c r="B3256">
        <v>500522</v>
      </c>
      <c r="C3256">
        <v>5950978</v>
      </c>
      <c r="D3256">
        <v>21</v>
      </c>
      <c r="E3256" t="s">
        <v>15</v>
      </c>
      <c r="F3256" t="s">
        <v>7927</v>
      </c>
      <c r="G3256">
        <v>7</v>
      </c>
      <c r="K3256" t="s">
        <v>228</v>
      </c>
      <c r="L3256" t="s">
        <v>7281</v>
      </c>
      <c r="M3256" s="3" t="str">
        <f>HYPERLINK("..\..\Imagery\ScannedPhotos\2004\CG04-278.4.jpg")</f>
        <v>..\..\Imagery\ScannedPhotos\2004\CG04-278.4.jpg</v>
      </c>
    </row>
    <row r="3257" spans="1:13" x14ac:dyDescent="0.25">
      <c r="A3257" t="s">
        <v>7928</v>
      </c>
      <c r="B3257">
        <v>410276</v>
      </c>
      <c r="C3257">
        <v>5988955</v>
      </c>
      <c r="D3257">
        <v>21</v>
      </c>
      <c r="E3257" t="s">
        <v>15</v>
      </c>
      <c r="F3257" t="s">
        <v>7929</v>
      </c>
      <c r="G3257">
        <v>1</v>
      </c>
      <c r="H3257" t="s">
        <v>2967</v>
      </c>
      <c r="I3257" t="s">
        <v>375</v>
      </c>
      <c r="J3257" t="s">
        <v>2968</v>
      </c>
      <c r="K3257" t="s">
        <v>20</v>
      </c>
      <c r="L3257" t="s">
        <v>3650</v>
      </c>
      <c r="M3257" s="3" t="str">
        <f>HYPERLINK("..\..\Imagery\ScannedPhotos\1980\RG80-101.jpg")</f>
        <v>..\..\Imagery\ScannedPhotos\1980\RG80-101.jpg</v>
      </c>
    </row>
    <row r="3258" spans="1:13" x14ac:dyDescent="0.25">
      <c r="A3258" t="s">
        <v>7930</v>
      </c>
      <c r="B3258">
        <v>555714</v>
      </c>
      <c r="C3258">
        <v>5812150</v>
      </c>
      <c r="D3258">
        <v>21</v>
      </c>
      <c r="E3258" t="s">
        <v>15</v>
      </c>
      <c r="F3258" t="s">
        <v>7931</v>
      </c>
      <c r="G3258">
        <v>1</v>
      </c>
      <c r="K3258" t="s">
        <v>56</v>
      </c>
      <c r="L3258" t="s">
        <v>7932</v>
      </c>
      <c r="M3258" s="3" t="str">
        <f>HYPERLINK("..\..\Imagery\ScannedPhotos\2003\CG03-197.jpg")</f>
        <v>..\..\Imagery\ScannedPhotos\2003\CG03-197.jpg</v>
      </c>
    </row>
    <row r="3259" spans="1:13" x14ac:dyDescent="0.25">
      <c r="A3259" t="s">
        <v>7933</v>
      </c>
      <c r="B3259">
        <v>558041</v>
      </c>
      <c r="C3259">
        <v>5823138</v>
      </c>
      <c r="D3259">
        <v>21</v>
      </c>
      <c r="E3259" t="s">
        <v>15</v>
      </c>
      <c r="F3259" t="s">
        <v>7934</v>
      </c>
      <c r="G3259">
        <v>1</v>
      </c>
      <c r="H3259" t="s">
        <v>24</v>
      </c>
      <c r="I3259" t="s">
        <v>47</v>
      </c>
      <c r="J3259" t="s">
        <v>26</v>
      </c>
      <c r="K3259" t="s">
        <v>56</v>
      </c>
      <c r="L3259" t="s">
        <v>7935</v>
      </c>
      <c r="M3259" s="3" t="str">
        <f>HYPERLINK("..\..\Imagery\ScannedPhotos\1986\CG86-052.jpg")</f>
        <v>..\..\Imagery\ScannedPhotos\1986\CG86-052.jpg</v>
      </c>
    </row>
    <row r="3260" spans="1:13" x14ac:dyDescent="0.25">
      <c r="A3260" t="s">
        <v>7936</v>
      </c>
      <c r="B3260">
        <v>573550</v>
      </c>
      <c r="C3260">
        <v>5821099</v>
      </c>
      <c r="D3260">
        <v>21</v>
      </c>
      <c r="E3260" t="s">
        <v>15</v>
      </c>
      <c r="F3260" t="s">
        <v>7937</v>
      </c>
      <c r="G3260">
        <v>1</v>
      </c>
      <c r="H3260" t="s">
        <v>7350</v>
      </c>
      <c r="I3260" t="s">
        <v>217</v>
      </c>
      <c r="J3260" t="s">
        <v>7351</v>
      </c>
      <c r="K3260" t="s">
        <v>20</v>
      </c>
      <c r="L3260" t="s">
        <v>7938</v>
      </c>
      <c r="M3260" s="3" t="str">
        <f>HYPERLINK("..\..\Imagery\ScannedPhotos\1986\JS86-511.jpg")</f>
        <v>..\..\Imagery\ScannedPhotos\1986\JS86-511.jpg</v>
      </c>
    </row>
    <row r="3261" spans="1:13" x14ac:dyDescent="0.25">
      <c r="A3261" t="s">
        <v>7939</v>
      </c>
      <c r="B3261">
        <v>570893</v>
      </c>
      <c r="C3261">
        <v>5819876</v>
      </c>
      <c r="D3261">
        <v>21</v>
      </c>
      <c r="E3261" t="s">
        <v>15</v>
      </c>
      <c r="F3261" t="s">
        <v>7940</v>
      </c>
      <c r="G3261">
        <v>2</v>
      </c>
      <c r="H3261" t="s">
        <v>7350</v>
      </c>
      <c r="I3261" t="s">
        <v>214</v>
      </c>
      <c r="J3261" t="s">
        <v>7351</v>
      </c>
      <c r="K3261" t="s">
        <v>20</v>
      </c>
      <c r="L3261" t="s">
        <v>7941</v>
      </c>
      <c r="M3261" s="3" t="str">
        <f>HYPERLINK("..\..\Imagery\ScannedPhotos\1986\JS86-519.1.jpg")</f>
        <v>..\..\Imagery\ScannedPhotos\1986\JS86-519.1.jpg</v>
      </c>
    </row>
    <row r="3262" spans="1:13" x14ac:dyDescent="0.25">
      <c r="A3262" t="s">
        <v>7939</v>
      </c>
      <c r="B3262">
        <v>570893</v>
      </c>
      <c r="C3262">
        <v>5819876</v>
      </c>
      <c r="D3262">
        <v>21</v>
      </c>
      <c r="E3262" t="s">
        <v>15</v>
      </c>
      <c r="F3262" t="s">
        <v>7942</v>
      </c>
      <c r="G3262">
        <v>2</v>
      </c>
      <c r="H3262" t="s">
        <v>7350</v>
      </c>
      <c r="I3262" t="s">
        <v>222</v>
      </c>
      <c r="J3262" t="s">
        <v>7351</v>
      </c>
      <c r="K3262" t="s">
        <v>20</v>
      </c>
      <c r="L3262" t="s">
        <v>7943</v>
      </c>
      <c r="M3262" s="3" t="str">
        <f>HYPERLINK("..\..\Imagery\ScannedPhotos\1986\JS86-519.2.jpg")</f>
        <v>..\..\Imagery\ScannedPhotos\1986\JS86-519.2.jpg</v>
      </c>
    </row>
    <row r="3263" spans="1:13" x14ac:dyDescent="0.25">
      <c r="A3263" t="s">
        <v>7944</v>
      </c>
      <c r="B3263">
        <v>504755</v>
      </c>
      <c r="C3263">
        <v>5814083</v>
      </c>
      <c r="D3263">
        <v>21</v>
      </c>
      <c r="E3263" t="s">
        <v>15</v>
      </c>
      <c r="F3263" t="s">
        <v>7945</v>
      </c>
      <c r="G3263">
        <v>1</v>
      </c>
      <c r="H3263" t="s">
        <v>796</v>
      </c>
      <c r="I3263" t="s">
        <v>79</v>
      </c>
      <c r="J3263" t="s">
        <v>797</v>
      </c>
      <c r="K3263" t="s">
        <v>20</v>
      </c>
      <c r="L3263" t="s">
        <v>7946</v>
      </c>
      <c r="M3263" s="3" t="str">
        <f>HYPERLINK("..\..\Imagery\ScannedPhotos\1987\JS87-022.jpg")</f>
        <v>..\..\Imagery\ScannedPhotos\1987\JS87-022.jpg</v>
      </c>
    </row>
    <row r="3264" spans="1:13" x14ac:dyDescent="0.25">
      <c r="A3264" t="s">
        <v>7947</v>
      </c>
      <c r="B3264">
        <v>487018</v>
      </c>
      <c r="C3264">
        <v>6042531</v>
      </c>
      <c r="D3264">
        <v>21</v>
      </c>
      <c r="E3264" t="s">
        <v>15</v>
      </c>
      <c r="F3264" t="s">
        <v>7948</v>
      </c>
      <c r="G3264">
        <v>1</v>
      </c>
      <c r="H3264" t="s">
        <v>700</v>
      </c>
      <c r="I3264" t="s">
        <v>647</v>
      </c>
      <c r="J3264" t="s">
        <v>210</v>
      </c>
      <c r="K3264" t="s">
        <v>20</v>
      </c>
      <c r="L3264" t="s">
        <v>7949</v>
      </c>
      <c r="M3264" s="3" t="str">
        <f>HYPERLINK("..\..\Imagery\ScannedPhotos\1979\CG79-327.jpg")</f>
        <v>..\..\Imagery\ScannedPhotos\1979\CG79-327.jpg</v>
      </c>
    </row>
    <row r="3265" spans="1:13" x14ac:dyDescent="0.25">
      <c r="A3265" t="s">
        <v>7950</v>
      </c>
      <c r="B3265">
        <v>486987</v>
      </c>
      <c r="C3265">
        <v>6043781</v>
      </c>
      <c r="D3265">
        <v>21</v>
      </c>
      <c r="E3265" t="s">
        <v>15</v>
      </c>
      <c r="F3265" t="s">
        <v>7951</v>
      </c>
      <c r="G3265">
        <v>1</v>
      </c>
      <c r="H3265" t="s">
        <v>700</v>
      </c>
      <c r="I3265" t="s">
        <v>114</v>
      </c>
      <c r="J3265" t="s">
        <v>210</v>
      </c>
      <c r="K3265" t="s">
        <v>20</v>
      </c>
      <c r="L3265" t="s">
        <v>7952</v>
      </c>
      <c r="M3265" s="3" t="str">
        <f>HYPERLINK("..\..\Imagery\ScannedPhotos\1979\CG79-328.jpg")</f>
        <v>..\..\Imagery\ScannedPhotos\1979\CG79-328.jpg</v>
      </c>
    </row>
    <row r="3266" spans="1:13" x14ac:dyDescent="0.25">
      <c r="A3266" t="s">
        <v>7953</v>
      </c>
      <c r="B3266">
        <v>487825</v>
      </c>
      <c r="C3266">
        <v>6043536</v>
      </c>
      <c r="D3266">
        <v>21</v>
      </c>
      <c r="E3266" t="s">
        <v>15</v>
      </c>
      <c r="F3266" t="s">
        <v>7954</v>
      </c>
      <c r="G3266">
        <v>1</v>
      </c>
      <c r="H3266" t="s">
        <v>700</v>
      </c>
      <c r="I3266" t="s">
        <v>119</v>
      </c>
      <c r="J3266" t="s">
        <v>210</v>
      </c>
      <c r="K3266" t="s">
        <v>20</v>
      </c>
      <c r="L3266" t="s">
        <v>7955</v>
      </c>
      <c r="M3266" s="3" t="str">
        <f>HYPERLINK("..\..\Imagery\ScannedPhotos\1979\CG79-329.jpg")</f>
        <v>..\..\Imagery\ScannedPhotos\1979\CG79-329.jpg</v>
      </c>
    </row>
    <row r="3267" spans="1:13" x14ac:dyDescent="0.25">
      <c r="A3267" t="s">
        <v>7956</v>
      </c>
      <c r="B3267">
        <v>487296</v>
      </c>
      <c r="C3267">
        <v>6045428</v>
      </c>
      <c r="D3267">
        <v>21</v>
      </c>
      <c r="E3267" t="s">
        <v>15</v>
      </c>
      <c r="F3267" t="s">
        <v>7957</v>
      </c>
      <c r="G3267">
        <v>1</v>
      </c>
      <c r="H3267" t="s">
        <v>700</v>
      </c>
      <c r="I3267" t="s">
        <v>122</v>
      </c>
      <c r="J3267" t="s">
        <v>210</v>
      </c>
      <c r="K3267" t="s">
        <v>20</v>
      </c>
      <c r="L3267" t="s">
        <v>7958</v>
      </c>
      <c r="M3267" s="3" t="str">
        <f>HYPERLINK("..\..\Imagery\ScannedPhotos\1979\CG79-331.jpg")</f>
        <v>..\..\Imagery\ScannedPhotos\1979\CG79-331.jpg</v>
      </c>
    </row>
    <row r="3268" spans="1:13" x14ac:dyDescent="0.25">
      <c r="A3268" t="s">
        <v>7959</v>
      </c>
      <c r="B3268">
        <v>484876</v>
      </c>
      <c r="C3268">
        <v>6045557</v>
      </c>
      <c r="D3268">
        <v>21</v>
      </c>
      <c r="E3268" t="s">
        <v>15</v>
      </c>
      <c r="F3268" t="s">
        <v>7960</v>
      </c>
      <c r="G3268">
        <v>1</v>
      </c>
      <c r="H3268" t="s">
        <v>4136</v>
      </c>
      <c r="I3268" t="s">
        <v>108</v>
      </c>
      <c r="J3268" t="s">
        <v>423</v>
      </c>
      <c r="K3268" t="s">
        <v>535</v>
      </c>
      <c r="L3268" t="s">
        <v>7961</v>
      </c>
      <c r="M3268" s="3" t="str">
        <f>HYPERLINK("..\..\Imagery\ScannedPhotos\1979\CG79-333.jpg")</f>
        <v>..\..\Imagery\ScannedPhotos\1979\CG79-333.jpg</v>
      </c>
    </row>
    <row r="3269" spans="1:13" x14ac:dyDescent="0.25">
      <c r="A3269" t="s">
        <v>7962</v>
      </c>
      <c r="B3269">
        <v>483583</v>
      </c>
      <c r="C3269">
        <v>6046238</v>
      </c>
      <c r="D3269">
        <v>21</v>
      </c>
      <c r="E3269" t="s">
        <v>15</v>
      </c>
      <c r="F3269" t="s">
        <v>7963</v>
      </c>
      <c r="G3269">
        <v>2</v>
      </c>
      <c r="H3269" t="s">
        <v>700</v>
      </c>
      <c r="I3269" t="s">
        <v>143</v>
      </c>
      <c r="J3269" t="s">
        <v>210</v>
      </c>
      <c r="K3269" t="s">
        <v>935</v>
      </c>
      <c r="L3269" t="s">
        <v>7964</v>
      </c>
      <c r="M3269" s="3" t="str">
        <f>HYPERLINK("..\..\Imagery\ScannedPhotos\1979\CG79-334.2.jpg")</f>
        <v>..\..\Imagery\ScannedPhotos\1979\CG79-334.2.jpg</v>
      </c>
    </row>
    <row r="3270" spans="1:13" x14ac:dyDescent="0.25">
      <c r="A3270" t="s">
        <v>7962</v>
      </c>
      <c r="B3270">
        <v>483583</v>
      </c>
      <c r="C3270">
        <v>6046238</v>
      </c>
      <c r="D3270">
        <v>21</v>
      </c>
      <c r="E3270" t="s">
        <v>15</v>
      </c>
      <c r="F3270" t="s">
        <v>7965</v>
      </c>
      <c r="G3270">
        <v>2</v>
      </c>
      <c r="H3270" t="s">
        <v>700</v>
      </c>
      <c r="I3270" t="s">
        <v>132</v>
      </c>
      <c r="J3270" t="s">
        <v>210</v>
      </c>
      <c r="K3270" t="s">
        <v>935</v>
      </c>
      <c r="L3270" t="s">
        <v>7966</v>
      </c>
      <c r="M3270" s="3" t="str">
        <f>HYPERLINK("..\..\Imagery\ScannedPhotos\1979\CG79-334.1.jpg")</f>
        <v>..\..\Imagery\ScannedPhotos\1979\CG79-334.1.jpg</v>
      </c>
    </row>
    <row r="3271" spans="1:13" x14ac:dyDescent="0.25">
      <c r="A3271" t="s">
        <v>7967</v>
      </c>
      <c r="B3271">
        <v>482329</v>
      </c>
      <c r="C3271">
        <v>6046232</v>
      </c>
      <c r="D3271">
        <v>21</v>
      </c>
      <c r="E3271" t="s">
        <v>15</v>
      </c>
      <c r="F3271" t="s">
        <v>7968</v>
      </c>
      <c r="G3271">
        <v>1</v>
      </c>
      <c r="H3271" t="s">
        <v>700</v>
      </c>
      <c r="I3271" t="s">
        <v>147</v>
      </c>
      <c r="J3271" t="s">
        <v>210</v>
      </c>
      <c r="K3271" t="s">
        <v>20</v>
      </c>
      <c r="L3271" t="s">
        <v>7969</v>
      </c>
      <c r="M3271" s="3" t="str">
        <f>HYPERLINK("..\..\Imagery\ScannedPhotos\1979\CG79-335.jpg")</f>
        <v>..\..\Imagery\ScannedPhotos\1979\CG79-335.jpg</v>
      </c>
    </row>
    <row r="3272" spans="1:13" x14ac:dyDescent="0.25">
      <c r="A3272" t="s">
        <v>7970</v>
      </c>
      <c r="B3272">
        <v>497566</v>
      </c>
      <c r="C3272">
        <v>5815368</v>
      </c>
      <c r="D3272">
        <v>21</v>
      </c>
      <c r="E3272" t="s">
        <v>15</v>
      </c>
      <c r="F3272" t="s">
        <v>7971</v>
      </c>
      <c r="G3272">
        <v>1</v>
      </c>
      <c r="H3272" t="s">
        <v>2340</v>
      </c>
      <c r="I3272" t="s">
        <v>281</v>
      </c>
      <c r="J3272" t="s">
        <v>2341</v>
      </c>
      <c r="K3272" t="s">
        <v>20</v>
      </c>
      <c r="L3272" t="s">
        <v>7972</v>
      </c>
      <c r="M3272" s="3" t="str">
        <f>HYPERLINK("..\..\Imagery\ScannedPhotos\1992\HP92-002.jpg")</f>
        <v>..\..\Imagery\ScannedPhotos\1992\HP92-002.jpg</v>
      </c>
    </row>
    <row r="3273" spans="1:13" x14ac:dyDescent="0.25">
      <c r="A3273" t="s">
        <v>7973</v>
      </c>
      <c r="B3273">
        <v>573916</v>
      </c>
      <c r="C3273">
        <v>5765645</v>
      </c>
      <c r="D3273">
        <v>21</v>
      </c>
      <c r="E3273" t="s">
        <v>15</v>
      </c>
      <c r="F3273" t="s">
        <v>7974</v>
      </c>
      <c r="G3273">
        <v>1</v>
      </c>
      <c r="H3273" t="s">
        <v>2480</v>
      </c>
      <c r="I3273" t="s">
        <v>217</v>
      </c>
      <c r="J3273" t="s">
        <v>1619</v>
      </c>
      <c r="K3273" t="s">
        <v>56</v>
      </c>
      <c r="L3273" t="s">
        <v>7975</v>
      </c>
      <c r="M3273" s="3" t="str">
        <f>HYPERLINK("..\..\Imagery\ScannedPhotos\1987\JS87-371.jpg")</f>
        <v>..\..\Imagery\ScannedPhotos\1987\JS87-371.jpg</v>
      </c>
    </row>
    <row r="3274" spans="1:13" x14ac:dyDescent="0.25">
      <c r="A3274" t="s">
        <v>7976</v>
      </c>
      <c r="B3274">
        <v>541617</v>
      </c>
      <c r="C3274">
        <v>5731367</v>
      </c>
      <c r="D3274">
        <v>21</v>
      </c>
      <c r="E3274" t="s">
        <v>15</v>
      </c>
      <c r="F3274" t="s">
        <v>7977</v>
      </c>
      <c r="G3274">
        <v>4</v>
      </c>
      <c r="H3274" t="s">
        <v>3597</v>
      </c>
      <c r="I3274" t="s">
        <v>52</v>
      </c>
      <c r="J3274" t="s">
        <v>3598</v>
      </c>
      <c r="K3274" t="s">
        <v>20</v>
      </c>
      <c r="L3274" t="s">
        <v>7978</v>
      </c>
      <c r="M3274" s="3" t="str">
        <f>HYPERLINK("..\..\Imagery\ScannedPhotos\1993\VN93-041.2.jpg")</f>
        <v>..\..\Imagery\ScannedPhotos\1993\VN93-041.2.jpg</v>
      </c>
    </row>
    <row r="3275" spans="1:13" x14ac:dyDescent="0.25">
      <c r="A3275" t="s">
        <v>7976</v>
      </c>
      <c r="B3275">
        <v>541617</v>
      </c>
      <c r="C3275">
        <v>5731367</v>
      </c>
      <c r="D3275">
        <v>21</v>
      </c>
      <c r="E3275" t="s">
        <v>15</v>
      </c>
      <c r="F3275" t="s">
        <v>7979</v>
      </c>
      <c r="G3275">
        <v>4</v>
      </c>
      <c r="H3275" t="s">
        <v>3597</v>
      </c>
      <c r="I3275" t="s">
        <v>65</v>
      </c>
      <c r="J3275" t="s">
        <v>3598</v>
      </c>
      <c r="K3275" t="s">
        <v>56</v>
      </c>
      <c r="L3275" t="s">
        <v>7978</v>
      </c>
      <c r="M3275" s="3" t="str">
        <f>HYPERLINK("..\..\Imagery\ScannedPhotos\1993\VN93-041.3.jpg")</f>
        <v>..\..\Imagery\ScannedPhotos\1993\VN93-041.3.jpg</v>
      </c>
    </row>
    <row r="3276" spans="1:13" x14ac:dyDescent="0.25">
      <c r="A3276" t="s">
        <v>7976</v>
      </c>
      <c r="B3276">
        <v>541617</v>
      </c>
      <c r="C3276">
        <v>5731367</v>
      </c>
      <c r="D3276">
        <v>21</v>
      </c>
      <c r="E3276" t="s">
        <v>15</v>
      </c>
      <c r="F3276" t="s">
        <v>7980</v>
      </c>
      <c r="G3276">
        <v>4</v>
      </c>
      <c r="H3276" t="s">
        <v>3597</v>
      </c>
      <c r="I3276" t="s">
        <v>401</v>
      </c>
      <c r="J3276" t="s">
        <v>3598</v>
      </c>
      <c r="K3276" t="s">
        <v>20</v>
      </c>
      <c r="L3276" t="s">
        <v>7981</v>
      </c>
      <c r="M3276" s="3" t="str">
        <f>HYPERLINK("..\..\Imagery\ScannedPhotos\1993\VN93-041.4.jpg")</f>
        <v>..\..\Imagery\ScannedPhotos\1993\VN93-041.4.jpg</v>
      </c>
    </row>
    <row r="3277" spans="1:13" x14ac:dyDescent="0.25">
      <c r="A3277" t="s">
        <v>6271</v>
      </c>
      <c r="B3277">
        <v>536619</v>
      </c>
      <c r="C3277">
        <v>5733255</v>
      </c>
      <c r="D3277">
        <v>21</v>
      </c>
      <c r="E3277" t="s">
        <v>15</v>
      </c>
      <c r="F3277" t="s">
        <v>7982</v>
      </c>
      <c r="G3277">
        <v>2</v>
      </c>
      <c r="H3277" t="s">
        <v>2355</v>
      </c>
      <c r="I3277" t="s">
        <v>79</v>
      </c>
      <c r="J3277" t="s">
        <v>886</v>
      </c>
      <c r="K3277" t="s">
        <v>20</v>
      </c>
      <c r="L3277" t="s">
        <v>7983</v>
      </c>
      <c r="M3277" s="3" t="str">
        <f>HYPERLINK("..\..\Imagery\ScannedPhotos\1993\VN93-045.1.jpg")</f>
        <v>..\..\Imagery\ScannedPhotos\1993\VN93-045.1.jpg</v>
      </c>
    </row>
    <row r="3278" spans="1:13" x14ac:dyDescent="0.25">
      <c r="A3278" t="s">
        <v>7984</v>
      </c>
      <c r="B3278">
        <v>554968</v>
      </c>
      <c r="C3278">
        <v>5821694</v>
      </c>
      <c r="D3278">
        <v>21</v>
      </c>
      <c r="E3278" t="s">
        <v>15</v>
      </c>
      <c r="F3278" t="s">
        <v>7985</v>
      </c>
      <c r="G3278">
        <v>1</v>
      </c>
      <c r="H3278" t="s">
        <v>24</v>
      </c>
      <c r="I3278" t="s">
        <v>126</v>
      </c>
      <c r="J3278" t="s">
        <v>26</v>
      </c>
      <c r="K3278" t="s">
        <v>20</v>
      </c>
      <c r="L3278" t="s">
        <v>7986</v>
      </c>
      <c r="M3278" s="3" t="str">
        <f>HYPERLINK("..\..\Imagery\ScannedPhotos\1986\CG86-043.jpg")</f>
        <v>..\..\Imagery\ScannedPhotos\1986\CG86-043.jpg</v>
      </c>
    </row>
    <row r="3279" spans="1:13" x14ac:dyDescent="0.25">
      <c r="A3279" t="s">
        <v>7987</v>
      </c>
      <c r="B3279">
        <v>555367</v>
      </c>
      <c r="C3279">
        <v>5821911</v>
      </c>
      <c r="D3279">
        <v>21</v>
      </c>
      <c r="E3279" t="s">
        <v>15</v>
      </c>
      <c r="F3279" t="s">
        <v>7988</v>
      </c>
      <c r="G3279">
        <v>1</v>
      </c>
      <c r="H3279" t="s">
        <v>24</v>
      </c>
      <c r="I3279" t="s">
        <v>108</v>
      </c>
      <c r="J3279" t="s">
        <v>26</v>
      </c>
      <c r="K3279" t="s">
        <v>56</v>
      </c>
      <c r="L3279" t="s">
        <v>7989</v>
      </c>
      <c r="M3279" s="3" t="str">
        <f>HYPERLINK("..\..\Imagery\ScannedPhotos\1986\CG86-045.jpg")</f>
        <v>..\..\Imagery\ScannedPhotos\1986\CG86-045.jpg</v>
      </c>
    </row>
    <row r="3280" spans="1:13" x14ac:dyDescent="0.25">
      <c r="A3280" t="s">
        <v>7301</v>
      </c>
      <c r="B3280">
        <v>439140</v>
      </c>
      <c r="C3280">
        <v>5763445</v>
      </c>
      <c r="D3280">
        <v>21</v>
      </c>
      <c r="E3280" t="s">
        <v>15</v>
      </c>
      <c r="F3280" t="s">
        <v>7990</v>
      </c>
      <c r="G3280">
        <v>5</v>
      </c>
      <c r="H3280" t="s">
        <v>904</v>
      </c>
      <c r="I3280" t="s">
        <v>114</v>
      </c>
      <c r="J3280" t="s">
        <v>905</v>
      </c>
      <c r="K3280" t="s">
        <v>228</v>
      </c>
      <c r="L3280" t="s">
        <v>7991</v>
      </c>
      <c r="M3280" s="3" t="str">
        <f>HYPERLINK("..\..\Imagery\ScannedPhotos\1992\VN92-223.5.jpg")</f>
        <v>..\..\Imagery\ScannedPhotos\1992\VN92-223.5.jpg</v>
      </c>
    </row>
    <row r="3281" spans="1:13" x14ac:dyDescent="0.25">
      <c r="A3281" t="s">
        <v>7992</v>
      </c>
      <c r="B3281">
        <v>441076</v>
      </c>
      <c r="C3281">
        <v>5763288</v>
      </c>
      <c r="D3281">
        <v>21</v>
      </c>
      <c r="E3281" t="s">
        <v>15</v>
      </c>
      <c r="F3281" t="s">
        <v>7993</v>
      </c>
      <c r="G3281">
        <v>1</v>
      </c>
      <c r="H3281" t="s">
        <v>904</v>
      </c>
      <c r="I3281" t="s">
        <v>119</v>
      </c>
      <c r="J3281" t="s">
        <v>905</v>
      </c>
      <c r="K3281" t="s">
        <v>56</v>
      </c>
      <c r="L3281" t="s">
        <v>7994</v>
      </c>
      <c r="M3281" s="3" t="str">
        <f>HYPERLINK("..\..\Imagery\ScannedPhotos\1992\VN92-225.jpg")</f>
        <v>..\..\Imagery\ScannedPhotos\1992\VN92-225.jpg</v>
      </c>
    </row>
    <row r="3282" spans="1:13" x14ac:dyDescent="0.25">
      <c r="A3282" t="s">
        <v>7995</v>
      </c>
      <c r="B3282">
        <v>442420</v>
      </c>
      <c r="C3282">
        <v>5762381</v>
      </c>
      <c r="D3282">
        <v>21</v>
      </c>
      <c r="E3282" t="s">
        <v>15</v>
      </c>
      <c r="F3282" t="s">
        <v>7996</v>
      </c>
      <c r="G3282">
        <v>1</v>
      </c>
      <c r="H3282" t="s">
        <v>904</v>
      </c>
      <c r="I3282" t="s">
        <v>122</v>
      </c>
      <c r="J3282" t="s">
        <v>905</v>
      </c>
      <c r="K3282" t="s">
        <v>56</v>
      </c>
      <c r="L3282" t="s">
        <v>7997</v>
      </c>
      <c r="M3282" s="3" t="str">
        <f>HYPERLINK("..\..\Imagery\ScannedPhotos\1992\VN92-229.jpg")</f>
        <v>..\..\Imagery\ScannedPhotos\1992\VN92-229.jpg</v>
      </c>
    </row>
    <row r="3283" spans="1:13" x14ac:dyDescent="0.25">
      <c r="A3283" t="s">
        <v>7998</v>
      </c>
      <c r="B3283">
        <v>443007</v>
      </c>
      <c r="C3283">
        <v>5762276</v>
      </c>
      <c r="D3283">
        <v>21</v>
      </c>
      <c r="E3283" t="s">
        <v>15</v>
      </c>
      <c r="F3283" t="s">
        <v>7999</v>
      </c>
      <c r="G3283">
        <v>1</v>
      </c>
      <c r="H3283" t="s">
        <v>904</v>
      </c>
      <c r="I3283" t="s">
        <v>126</v>
      </c>
      <c r="J3283" t="s">
        <v>905</v>
      </c>
      <c r="K3283" t="s">
        <v>56</v>
      </c>
      <c r="L3283" t="s">
        <v>7997</v>
      </c>
      <c r="M3283" s="3" t="str">
        <f>HYPERLINK("..\..\Imagery\ScannedPhotos\1992\VN92-231.jpg")</f>
        <v>..\..\Imagery\ScannedPhotos\1992\VN92-231.jpg</v>
      </c>
    </row>
    <row r="3284" spans="1:13" x14ac:dyDescent="0.25">
      <c r="A3284" t="s">
        <v>8000</v>
      </c>
      <c r="B3284">
        <v>443188</v>
      </c>
      <c r="C3284">
        <v>5762118</v>
      </c>
      <c r="D3284">
        <v>21</v>
      </c>
      <c r="E3284" t="s">
        <v>15</v>
      </c>
      <c r="F3284" t="s">
        <v>8001</v>
      </c>
      <c r="G3284">
        <v>1</v>
      </c>
      <c r="H3284" t="s">
        <v>904</v>
      </c>
      <c r="I3284" t="s">
        <v>108</v>
      </c>
      <c r="J3284" t="s">
        <v>905</v>
      </c>
      <c r="K3284" t="s">
        <v>56</v>
      </c>
      <c r="L3284" t="s">
        <v>7997</v>
      </c>
      <c r="M3284" s="3" t="str">
        <f>HYPERLINK("..\..\Imagery\ScannedPhotos\1992\VN92-232.jpg")</f>
        <v>..\..\Imagery\ScannedPhotos\1992\VN92-232.jpg</v>
      </c>
    </row>
    <row r="3285" spans="1:13" x14ac:dyDescent="0.25">
      <c r="A3285" t="s">
        <v>8002</v>
      </c>
      <c r="B3285">
        <v>447994</v>
      </c>
      <c r="C3285">
        <v>5765836</v>
      </c>
      <c r="D3285">
        <v>21</v>
      </c>
      <c r="E3285" t="s">
        <v>15</v>
      </c>
      <c r="F3285" t="s">
        <v>8003</v>
      </c>
      <c r="G3285">
        <v>1</v>
      </c>
      <c r="H3285" t="s">
        <v>904</v>
      </c>
      <c r="I3285" t="s">
        <v>143</v>
      </c>
      <c r="J3285" t="s">
        <v>905</v>
      </c>
      <c r="K3285" t="s">
        <v>56</v>
      </c>
      <c r="L3285" t="s">
        <v>8004</v>
      </c>
      <c r="M3285" s="3" t="str">
        <f>HYPERLINK("..\..\Imagery\ScannedPhotos\1992\VN92-233.jpg")</f>
        <v>..\..\Imagery\ScannedPhotos\1992\VN92-233.jpg</v>
      </c>
    </row>
    <row r="3286" spans="1:13" x14ac:dyDescent="0.25">
      <c r="A3286" t="s">
        <v>8005</v>
      </c>
      <c r="B3286">
        <v>448980</v>
      </c>
      <c r="C3286">
        <v>5766315</v>
      </c>
      <c r="D3286">
        <v>21</v>
      </c>
      <c r="E3286" t="s">
        <v>15</v>
      </c>
      <c r="F3286" t="s">
        <v>8006</v>
      </c>
      <c r="G3286">
        <v>1</v>
      </c>
      <c r="H3286" t="s">
        <v>904</v>
      </c>
      <c r="I3286" t="s">
        <v>147</v>
      </c>
      <c r="J3286" t="s">
        <v>905</v>
      </c>
      <c r="K3286" t="s">
        <v>56</v>
      </c>
      <c r="L3286" t="s">
        <v>2972</v>
      </c>
      <c r="M3286" s="3" t="str">
        <f>HYPERLINK("..\..\Imagery\ScannedPhotos\1992\VN92-235.jpg")</f>
        <v>..\..\Imagery\ScannedPhotos\1992\VN92-235.jpg</v>
      </c>
    </row>
    <row r="3287" spans="1:13" x14ac:dyDescent="0.25">
      <c r="A3287" t="s">
        <v>8007</v>
      </c>
      <c r="B3287">
        <v>397256</v>
      </c>
      <c r="C3287">
        <v>5923215</v>
      </c>
      <c r="D3287">
        <v>21</v>
      </c>
      <c r="E3287" t="s">
        <v>15</v>
      </c>
      <c r="F3287" t="s">
        <v>8008</v>
      </c>
      <c r="G3287">
        <v>1</v>
      </c>
      <c r="H3287" t="s">
        <v>562</v>
      </c>
      <c r="I3287" t="s">
        <v>74</v>
      </c>
      <c r="J3287" t="s">
        <v>563</v>
      </c>
      <c r="K3287" t="s">
        <v>56</v>
      </c>
      <c r="L3287" t="s">
        <v>8009</v>
      </c>
      <c r="M3287" s="3" t="str">
        <f>HYPERLINK("..\..\Imagery\ScannedPhotos\1995\VN95-092.jpg")</f>
        <v>..\..\Imagery\ScannedPhotos\1995\VN95-092.jpg</v>
      </c>
    </row>
    <row r="3288" spans="1:13" x14ac:dyDescent="0.25">
      <c r="A3288" t="s">
        <v>8010</v>
      </c>
      <c r="B3288">
        <v>591845</v>
      </c>
      <c r="C3288">
        <v>5807070</v>
      </c>
      <c r="D3288">
        <v>21</v>
      </c>
      <c r="E3288" t="s">
        <v>15</v>
      </c>
      <c r="F3288" t="s">
        <v>8011</v>
      </c>
      <c r="G3288">
        <v>2</v>
      </c>
      <c r="H3288" t="s">
        <v>1618</v>
      </c>
      <c r="I3288" t="s">
        <v>94</v>
      </c>
      <c r="J3288" t="s">
        <v>1619</v>
      </c>
      <c r="K3288" t="s">
        <v>20</v>
      </c>
      <c r="L3288" t="s">
        <v>8012</v>
      </c>
      <c r="M3288" s="3" t="str">
        <f>HYPERLINK("..\..\Imagery\ScannedPhotos\1987\CG87-340.1.jpg")</f>
        <v>..\..\Imagery\ScannedPhotos\1987\CG87-340.1.jpg</v>
      </c>
    </row>
    <row r="3289" spans="1:13" x14ac:dyDescent="0.25">
      <c r="A3289" t="s">
        <v>8010</v>
      </c>
      <c r="B3289">
        <v>591845</v>
      </c>
      <c r="C3289">
        <v>5807070</v>
      </c>
      <c r="D3289">
        <v>21</v>
      </c>
      <c r="E3289" t="s">
        <v>15</v>
      </c>
      <c r="F3289" t="s">
        <v>8013</v>
      </c>
      <c r="G3289">
        <v>2</v>
      </c>
      <c r="H3289" t="s">
        <v>1618</v>
      </c>
      <c r="I3289" t="s">
        <v>209</v>
      </c>
      <c r="J3289" t="s">
        <v>1619</v>
      </c>
      <c r="K3289" t="s">
        <v>20</v>
      </c>
      <c r="L3289" t="s">
        <v>8012</v>
      </c>
      <c r="M3289" s="3" t="str">
        <f>HYPERLINK("..\..\Imagery\ScannedPhotos\1987\CG87-340.2.jpg")</f>
        <v>..\..\Imagery\ScannedPhotos\1987\CG87-340.2.jpg</v>
      </c>
    </row>
    <row r="3290" spans="1:13" x14ac:dyDescent="0.25">
      <c r="A3290" t="s">
        <v>8014</v>
      </c>
      <c r="B3290">
        <v>590775</v>
      </c>
      <c r="C3290">
        <v>5807006</v>
      </c>
      <c r="D3290">
        <v>21</v>
      </c>
      <c r="E3290" t="s">
        <v>15</v>
      </c>
      <c r="F3290" t="s">
        <v>8015</v>
      </c>
      <c r="G3290">
        <v>1</v>
      </c>
      <c r="H3290" t="s">
        <v>1618</v>
      </c>
      <c r="I3290" t="s">
        <v>217</v>
      </c>
      <c r="J3290" t="s">
        <v>1619</v>
      </c>
      <c r="K3290" t="s">
        <v>20</v>
      </c>
      <c r="L3290" t="s">
        <v>8016</v>
      </c>
      <c r="M3290" s="3" t="str">
        <f>HYPERLINK("..\..\Imagery\ScannedPhotos\1987\CG87-342.jpg")</f>
        <v>..\..\Imagery\ScannedPhotos\1987\CG87-342.jpg</v>
      </c>
    </row>
    <row r="3291" spans="1:13" x14ac:dyDescent="0.25">
      <c r="A3291" t="s">
        <v>2940</v>
      </c>
      <c r="B3291">
        <v>468168</v>
      </c>
      <c r="C3291">
        <v>5908316</v>
      </c>
      <c r="D3291">
        <v>21</v>
      </c>
      <c r="E3291" t="s">
        <v>15</v>
      </c>
      <c r="F3291" t="s">
        <v>8017</v>
      </c>
      <c r="G3291">
        <v>3</v>
      </c>
      <c r="K3291" t="s">
        <v>20</v>
      </c>
      <c r="L3291" t="s">
        <v>965</v>
      </c>
      <c r="M3291" s="3" t="str">
        <f>HYPERLINK("..\..\Imagery\ScannedPhotos\2004\CG04-217.3.jpg")</f>
        <v>..\..\Imagery\ScannedPhotos\2004\CG04-217.3.jpg</v>
      </c>
    </row>
    <row r="3292" spans="1:13" x14ac:dyDescent="0.25">
      <c r="A3292" t="s">
        <v>8018</v>
      </c>
      <c r="B3292">
        <v>502146</v>
      </c>
      <c r="C3292">
        <v>5820128</v>
      </c>
      <c r="D3292">
        <v>21</v>
      </c>
      <c r="E3292" t="s">
        <v>15</v>
      </c>
      <c r="F3292" t="s">
        <v>8019</v>
      </c>
      <c r="G3292">
        <v>2</v>
      </c>
      <c r="H3292" t="s">
        <v>4591</v>
      </c>
      <c r="I3292" t="s">
        <v>386</v>
      </c>
      <c r="J3292" t="s">
        <v>1233</v>
      </c>
      <c r="K3292" t="s">
        <v>56</v>
      </c>
      <c r="L3292" t="s">
        <v>2134</v>
      </c>
      <c r="M3292" s="3" t="str">
        <f>HYPERLINK("..\..\Imagery\ScannedPhotos\1986\SN86-276.2.jpg")</f>
        <v>..\..\Imagery\ScannedPhotos\1986\SN86-276.2.jpg</v>
      </c>
    </row>
    <row r="3293" spans="1:13" x14ac:dyDescent="0.25">
      <c r="A3293" t="s">
        <v>8020</v>
      </c>
      <c r="B3293">
        <v>507000</v>
      </c>
      <c r="C3293">
        <v>5819071</v>
      </c>
      <c r="D3293">
        <v>21</v>
      </c>
      <c r="E3293" t="s">
        <v>15</v>
      </c>
      <c r="F3293" t="s">
        <v>8021</v>
      </c>
      <c r="G3293">
        <v>1</v>
      </c>
      <c r="H3293" t="s">
        <v>4591</v>
      </c>
      <c r="I3293" t="s">
        <v>217</v>
      </c>
      <c r="J3293" t="s">
        <v>1233</v>
      </c>
      <c r="K3293" t="s">
        <v>56</v>
      </c>
      <c r="L3293" t="s">
        <v>8022</v>
      </c>
      <c r="M3293" s="3" t="str">
        <f>HYPERLINK("..\..\Imagery\ScannedPhotos\1986\SN86-283.jpg")</f>
        <v>..\..\Imagery\ScannedPhotos\1986\SN86-283.jpg</v>
      </c>
    </row>
    <row r="3294" spans="1:13" x14ac:dyDescent="0.25">
      <c r="A3294" t="s">
        <v>8023</v>
      </c>
      <c r="B3294">
        <v>583504</v>
      </c>
      <c r="C3294">
        <v>5888816</v>
      </c>
      <c r="D3294">
        <v>21</v>
      </c>
      <c r="E3294" t="s">
        <v>15</v>
      </c>
      <c r="F3294" t="s">
        <v>8024</v>
      </c>
      <c r="G3294">
        <v>3</v>
      </c>
      <c r="H3294" t="s">
        <v>4870</v>
      </c>
      <c r="I3294" t="s">
        <v>126</v>
      </c>
      <c r="J3294" t="s">
        <v>138</v>
      </c>
      <c r="K3294" t="s">
        <v>20</v>
      </c>
      <c r="L3294" t="s">
        <v>8025</v>
      </c>
      <c r="M3294" s="3" t="str">
        <f>HYPERLINK("..\..\Imagery\ScannedPhotos\1985\GM85-527.1.jpg")</f>
        <v>..\..\Imagery\ScannedPhotos\1985\GM85-527.1.jpg</v>
      </c>
    </row>
    <row r="3295" spans="1:13" x14ac:dyDescent="0.25">
      <c r="A3295" t="s">
        <v>8023</v>
      </c>
      <c r="B3295">
        <v>583504</v>
      </c>
      <c r="C3295">
        <v>5888816</v>
      </c>
      <c r="D3295">
        <v>21</v>
      </c>
      <c r="E3295" t="s">
        <v>15</v>
      </c>
      <c r="F3295" t="s">
        <v>8026</v>
      </c>
      <c r="G3295">
        <v>3</v>
      </c>
      <c r="H3295" t="s">
        <v>4870</v>
      </c>
      <c r="I3295" t="s">
        <v>108</v>
      </c>
      <c r="J3295" t="s">
        <v>138</v>
      </c>
      <c r="K3295" t="s">
        <v>20</v>
      </c>
      <c r="L3295" t="s">
        <v>8025</v>
      </c>
      <c r="M3295" s="3" t="str">
        <f>HYPERLINK("..\..\Imagery\ScannedPhotos\1985\GM85-527.2.jpg")</f>
        <v>..\..\Imagery\ScannedPhotos\1985\GM85-527.2.jpg</v>
      </c>
    </row>
    <row r="3296" spans="1:13" x14ac:dyDescent="0.25">
      <c r="A3296" t="s">
        <v>8023</v>
      </c>
      <c r="B3296">
        <v>583504</v>
      </c>
      <c r="C3296">
        <v>5888816</v>
      </c>
      <c r="D3296">
        <v>21</v>
      </c>
      <c r="E3296" t="s">
        <v>15</v>
      </c>
      <c r="F3296" t="s">
        <v>8027</v>
      </c>
      <c r="G3296">
        <v>3</v>
      </c>
      <c r="H3296" t="s">
        <v>4870</v>
      </c>
      <c r="I3296" t="s">
        <v>132</v>
      </c>
      <c r="J3296" t="s">
        <v>138</v>
      </c>
      <c r="K3296" t="s">
        <v>20</v>
      </c>
      <c r="L3296" t="s">
        <v>8028</v>
      </c>
      <c r="M3296" s="3" t="str">
        <f>HYPERLINK("..\..\Imagery\ScannedPhotos\1985\GM85-527.3.jpg")</f>
        <v>..\..\Imagery\ScannedPhotos\1985\GM85-527.3.jpg</v>
      </c>
    </row>
    <row r="3297" spans="1:13" x14ac:dyDescent="0.25">
      <c r="A3297" t="s">
        <v>6932</v>
      </c>
      <c r="B3297">
        <v>582730</v>
      </c>
      <c r="C3297">
        <v>5888696</v>
      </c>
      <c r="D3297">
        <v>21</v>
      </c>
      <c r="E3297" t="s">
        <v>15</v>
      </c>
      <c r="F3297" t="s">
        <v>8029</v>
      </c>
      <c r="G3297">
        <v>2</v>
      </c>
      <c r="H3297" t="s">
        <v>4870</v>
      </c>
      <c r="I3297" t="s">
        <v>129</v>
      </c>
      <c r="J3297" t="s">
        <v>138</v>
      </c>
      <c r="K3297" t="s">
        <v>56</v>
      </c>
      <c r="L3297" t="s">
        <v>6934</v>
      </c>
      <c r="M3297" s="3" t="str">
        <f>HYPERLINK("..\..\Imagery\ScannedPhotos\1985\GM85-529.1.jpg")</f>
        <v>..\..\Imagery\ScannedPhotos\1985\GM85-529.1.jpg</v>
      </c>
    </row>
    <row r="3298" spans="1:13" x14ac:dyDescent="0.25">
      <c r="A3298" t="s">
        <v>8030</v>
      </c>
      <c r="B3298">
        <v>545651</v>
      </c>
      <c r="C3298">
        <v>5856916</v>
      </c>
      <c r="D3298">
        <v>21</v>
      </c>
      <c r="E3298" t="s">
        <v>15</v>
      </c>
      <c r="F3298" t="s">
        <v>8031</v>
      </c>
      <c r="G3298">
        <v>1</v>
      </c>
      <c r="H3298" t="s">
        <v>68</v>
      </c>
      <c r="I3298" t="s">
        <v>375</v>
      </c>
      <c r="J3298" t="s">
        <v>70</v>
      </c>
      <c r="K3298" t="s">
        <v>20</v>
      </c>
      <c r="L3298" t="s">
        <v>8032</v>
      </c>
      <c r="M3298" s="3" t="str">
        <f>HYPERLINK("..\..\Imagery\ScannedPhotos\1986\SN86-155.jpg")</f>
        <v>..\..\Imagery\ScannedPhotos\1986\SN86-155.jpg</v>
      </c>
    </row>
    <row r="3299" spans="1:13" x14ac:dyDescent="0.25">
      <c r="A3299" t="s">
        <v>8033</v>
      </c>
      <c r="B3299">
        <v>406704</v>
      </c>
      <c r="C3299">
        <v>6010947</v>
      </c>
      <c r="D3299">
        <v>21</v>
      </c>
      <c r="E3299" t="s">
        <v>15</v>
      </c>
      <c r="F3299" t="s">
        <v>8034</v>
      </c>
      <c r="G3299">
        <v>1</v>
      </c>
      <c r="H3299" t="s">
        <v>2319</v>
      </c>
      <c r="I3299" t="s">
        <v>47</v>
      </c>
      <c r="J3299" t="s">
        <v>759</v>
      </c>
      <c r="K3299" t="s">
        <v>20</v>
      </c>
      <c r="L3299" t="s">
        <v>8035</v>
      </c>
      <c r="M3299" s="3" t="str">
        <f>HYPERLINK("..\..\Imagery\ScannedPhotos\1980\CG80-033.jpg")</f>
        <v>..\..\Imagery\ScannedPhotos\1980\CG80-033.jpg</v>
      </c>
    </row>
    <row r="3300" spans="1:13" x14ac:dyDescent="0.25">
      <c r="A3300" t="s">
        <v>8036</v>
      </c>
      <c r="B3300">
        <v>406330</v>
      </c>
      <c r="C3300">
        <v>6010892</v>
      </c>
      <c r="D3300">
        <v>21</v>
      </c>
      <c r="E3300" t="s">
        <v>15</v>
      </c>
      <c r="F3300" t="s">
        <v>8037</v>
      </c>
      <c r="G3300">
        <v>1</v>
      </c>
      <c r="H3300" t="s">
        <v>2319</v>
      </c>
      <c r="I3300" t="s">
        <v>52</v>
      </c>
      <c r="J3300" t="s">
        <v>759</v>
      </c>
      <c r="K3300" t="s">
        <v>20</v>
      </c>
      <c r="L3300" t="s">
        <v>3364</v>
      </c>
      <c r="M3300" s="3" t="str">
        <f>HYPERLINK("..\..\Imagery\ScannedPhotos\1980\CG80-034.jpg")</f>
        <v>..\..\Imagery\ScannedPhotos\1980\CG80-034.jpg</v>
      </c>
    </row>
    <row r="3301" spans="1:13" x14ac:dyDescent="0.25">
      <c r="A3301" t="s">
        <v>8038</v>
      </c>
      <c r="B3301">
        <v>405358</v>
      </c>
      <c r="C3301">
        <v>6010188</v>
      </c>
      <c r="D3301">
        <v>21</v>
      </c>
      <c r="E3301" t="s">
        <v>15</v>
      </c>
      <c r="F3301" t="s">
        <v>8039</v>
      </c>
      <c r="G3301">
        <v>3</v>
      </c>
      <c r="H3301" t="s">
        <v>1006</v>
      </c>
      <c r="I3301" t="s">
        <v>137</v>
      </c>
      <c r="J3301" t="s">
        <v>652</v>
      </c>
      <c r="K3301" t="s">
        <v>20</v>
      </c>
      <c r="L3301" t="s">
        <v>8040</v>
      </c>
      <c r="M3301" s="3" t="str">
        <f>HYPERLINK("..\..\Imagery\ScannedPhotos\1980\CG80-037.2.jpg")</f>
        <v>..\..\Imagery\ScannedPhotos\1980\CG80-037.2.jpg</v>
      </c>
    </row>
    <row r="3302" spans="1:13" x14ac:dyDescent="0.25">
      <c r="A3302" t="s">
        <v>8041</v>
      </c>
      <c r="B3302">
        <v>584915</v>
      </c>
      <c r="C3302">
        <v>5770629</v>
      </c>
      <c r="D3302">
        <v>21</v>
      </c>
      <c r="E3302" t="s">
        <v>15</v>
      </c>
      <c r="F3302" t="s">
        <v>8042</v>
      </c>
      <c r="G3302">
        <v>1</v>
      </c>
      <c r="H3302" t="s">
        <v>1066</v>
      </c>
      <c r="I3302" t="s">
        <v>304</v>
      </c>
      <c r="J3302" t="s">
        <v>36</v>
      </c>
      <c r="K3302" t="s">
        <v>20</v>
      </c>
      <c r="L3302" t="s">
        <v>8043</v>
      </c>
      <c r="M3302" s="3" t="str">
        <f>HYPERLINK("..\..\Imagery\ScannedPhotos\1987\CG87-432.jpg")</f>
        <v>..\..\Imagery\ScannedPhotos\1987\CG87-432.jpg</v>
      </c>
    </row>
    <row r="3303" spans="1:13" x14ac:dyDescent="0.25">
      <c r="A3303" t="s">
        <v>8044</v>
      </c>
      <c r="B3303">
        <v>585387</v>
      </c>
      <c r="C3303">
        <v>5770466</v>
      </c>
      <c r="D3303">
        <v>21</v>
      </c>
      <c r="E3303" t="s">
        <v>15</v>
      </c>
      <c r="F3303" t="s">
        <v>8045</v>
      </c>
      <c r="G3303">
        <v>2</v>
      </c>
      <c r="H3303" t="s">
        <v>1066</v>
      </c>
      <c r="I3303" t="s">
        <v>195</v>
      </c>
      <c r="J3303" t="s">
        <v>36</v>
      </c>
      <c r="K3303" t="s">
        <v>20</v>
      </c>
      <c r="L3303" t="s">
        <v>8046</v>
      </c>
      <c r="M3303" s="3" t="str">
        <f>HYPERLINK("..\..\Imagery\ScannedPhotos\1987\CG87-433.1.jpg")</f>
        <v>..\..\Imagery\ScannedPhotos\1987\CG87-433.1.jpg</v>
      </c>
    </row>
    <row r="3304" spans="1:13" x14ac:dyDescent="0.25">
      <c r="A3304" t="s">
        <v>2482</v>
      </c>
      <c r="B3304">
        <v>593253</v>
      </c>
      <c r="C3304">
        <v>5785005</v>
      </c>
      <c r="D3304">
        <v>21</v>
      </c>
      <c r="E3304" t="s">
        <v>15</v>
      </c>
      <c r="F3304" t="s">
        <v>8047</v>
      </c>
      <c r="G3304">
        <v>6</v>
      </c>
      <c r="H3304" t="s">
        <v>17</v>
      </c>
      <c r="I3304" t="s">
        <v>119</v>
      </c>
      <c r="J3304" t="s">
        <v>19</v>
      </c>
      <c r="K3304" t="s">
        <v>20</v>
      </c>
      <c r="L3304" t="s">
        <v>8048</v>
      </c>
      <c r="M3304" s="3" t="str">
        <f>HYPERLINK("..\..\Imagery\ScannedPhotos\1987\CG87-445.4.jpg")</f>
        <v>..\..\Imagery\ScannedPhotos\1987\CG87-445.4.jpg</v>
      </c>
    </row>
    <row r="3305" spans="1:13" x14ac:dyDescent="0.25">
      <c r="A3305" t="s">
        <v>993</v>
      </c>
      <c r="B3305">
        <v>525211</v>
      </c>
      <c r="C3305">
        <v>5743163</v>
      </c>
      <c r="D3305">
        <v>21</v>
      </c>
      <c r="E3305" t="s">
        <v>15</v>
      </c>
      <c r="F3305" t="s">
        <v>8049</v>
      </c>
      <c r="G3305">
        <v>7</v>
      </c>
      <c r="H3305" t="s">
        <v>995</v>
      </c>
      <c r="I3305" t="s">
        <v>147</v>
      </c>
      <c r="J3305" t="s">
        <v>996</v>
      </c>
      <c r="K3305" t="s">
        <v>20</v>
      </c>
      <c r="L3305" t="s">
        <v>1000</v>
      </c>
      <c r="M3305" s="3" t="str">
        <f>HYPERLINK("..\..\Imagery\ScannedPhotos\1993\CG93-698.5.jpg")</f>
        <v>..\..\Imagery\ScannedPhotos\1993\CG93-698.5.jpg</v>
      </c>
    </row>
    <row r="3306" spans="1:13" x14ac:dyDescent="0.25">
      <c r="A3306" t="s">
        <v>2384</v>
      </c>
      <c r="B3306">
        <v>331116</v>
      </c>
      <c r="C3306">
        <v>5788637</v>
      </c>
      <c r="D3306">
        <v>21</v>
      </c>
      <c r="E3306" t="s">
        <v>15</v>
      </c>
      <c r="F3306" t="s">
        <v>8050</v>
      </c>
      <c r="G3306">
        <v>4</v>
      </c>
      <c r="H3306" t="s">
        <v>78</v>
      </c>
      <c r="I3306" t="s">
        <v>35</v>
      </c>
      <c r="J3306" t="s">
        <v>80</v>
      </c>
      <c r="K3306" t="s">
        <v>56</v>
      </c>
      <c r="L3306" t="s">
        <v>915</v>
      </c>
      <c r="M3306" s="3" t="str">
        <f>HYPERLINK("..\..\Imagery\ScannedPhotos\2000\CG00-147.2.jpg")</f>
        <v>..\..\Imagery\ScannedPhotos\2000\CG00-147.2.jpg</v>
      </c>
    </row>
    <row r="3307" spans="1:13" x14ac:dyDescent="0.25">
      <c r="A3307" t="s">
        <v>2384</v>
      </c>
      <c r="B3307">
        <v>331116</v>
      </c>
      <c r="C3307">
        <v>5788637</v>
      </c>
      <c r="D3307">
        <v>21</v>
      </c>
      <c r="E3307" t="s">
        <v>15</v>
      </c>
      <c r="F3307" t="s">
        <v>8051</v>
      </c>
      <c r="G3307">
        <v>4</v>
      </c>
      <c r="H3307" t="s">
        <v>78</v>
      </c>
      <c r="I3307" t="s">
        <v>69</v>
      </c>
      <c r="J3307" t="s">
        <v>80</v>
      </c>
      <c r="K3307" t="s">
        <v>20</v>
      </c>
      <c r="L3307" t="s">
        <v>8052</v>
      </c>
      <c r="M3307" s="3" t="str">
        <f>HYPERLINK("..\..\Imagery\ScannedPhotos\2000\CG00-147.3.jpg")</f>
        <v>..\..\Imagery\ScannedPhotos\2000\CG00-147.3.jpg</v>
      </c>
    </row>
    <row r="3308" spans="1:13" x14ac:dyDescent="0.25">
      <c r="A3308" t="s">
        <v>8053</v>
      </c>
      <c r="B3308">
        <v>522495</v>
      </c>
      <c r="C3308">
        <v>5879874</v>
      </c>
      <c r="D3308">
        <v>21</v>
      </c>
      <c r="E3308" t="s">
        <v>15</v>
      </c>
      <c r="F3308" t="s">
        <v>8054</v>
      </c>
      <c r="G3308">
        <v>1</v>
      </c>
      <c r="H3308" t="s">
        <v>2084</v>
      </c>
      <c r="I3308" t="s">
        <v>195</v>
      </c>
      <c r="J3308" t="s">
        <v>1014</v>
      </c>
      <c r="K3308" t="s">
        <v>20</v>
      </c>
      <c r="L3308" t="s">
        <v>6896</v>
      </c>
      <c r="M3308" s="3" t="str">
        <f>HYPERLINK("..\..\Imagery\ScannedPhotos\1985\CG85-249.jpg")</f>
        <v>..\..\Imagery\ScannedPhotos\1985\CG85-249.jpg</v>
      </c>
    </row>
    <row r="3309" spans="1:13" x14ac:dyDescent="0.25">
      <c r="A3309" t="s">
        <v>3506</v>
      </c>
      <c r="B3309">
        <v>596318</v>
      </c>
      <c r="C3309">
        <v>5792715</v>
      </c>
      <c r="D3309">
        <v>21</v>
      </c>
      <c r="E3309" t="s">
        <v>15</v>
      </c>
      <c r="F3309" t="s">
        <v>8055</v>
      </c>
      <c r="G3309">
        <v>8</v>
      </c>
      <c r="K3309" t="s">
        <v>935</v>
      </c>
      <c r="L3309" t="s">
        <v>8056</v>
      </c>
      <c r="M3309" s="3" t="str">
        <f>HYPERLINK("..\..\Imagery\ScannedPhotos\2007\CG07-123.3.jpg")</f>
        <v>..\..\Imagery\ScannedPhotos\2007\CG07-123.3.jpg</v>
      </c>
    </row>
    <row r="3310" spans="1:13" x14ac:dyDescent="0.25">
      <c r="A3310" t="s">
        <v>3506</v>
      </c>
      <c r="B3310">
        <v>596318</v>
      </c>
      <c r="C3310">
        <v>5792715</v>
      </c>
      <c r="D3310">
        <v>21</v>
      </c>
      <c r="E3310" t="s">
        <v>15</v>
      </c>
      <c r="F3310" t="s">
        <v>8057</v>
      </c>
      <c r="G3310">
        <v>8</v>
      </c>
      <c r="K3310" t="s">
        <v>935</v>
      </c>
      <c r="L3310" t="s">
        <v>8056</v>
      </c>
      <c r="M3310" s="3" t="str">
        <f>HYPERLINK("..\..\Imagery\ScannedPhotos\2007\CG07-123.4.jpg")</f>
        <v>..\..\Imagery\ScannedPhotos\2007\CG07-123.4.jpg</v>
      </c>
    </row>
    <row r="3311" spans="1:13" x14ac:dyDescent="0.25">
      <c r="A3311" t="s">
        <v>3506</v>
      </c>
      <c r="B3311">
        <v>596318</v>
      </c>
      <c r="C3311">
        <v>5792715</v>
      </c>
      <c r="D3311">
        <v>21</v>
      </c>
      <c r="E3311" t="s">
        <v>15</v>
      </c>
      <c r="F3311" t="s">
        <v>8058</v>
      </c>
      <c r="G3311">
        <v>8</v>
      </c>
      <c r="K3311" t="s">
        <v>935</v>
      </c>
      <c r="L3311" t="s">
        <v>8056</v>
      </c>
      <c r="M3311" s="3" t="str">
        <f>HYPERLINK("..\..\Imagery\ScannedPhotos\2007\CG07-123.5.jpg")</f>
        <v>..\..\Imagery\ScannedPhotos\2007\CG07-123.5.jpg</v>
      </c>
    </row>
    <row r="3312" spans="1:13" x14ac:dyDescent="0.25">
      <c r="A3312" t="s">
        <v>3506</v>
      </c>
      <c r="B3312">
        <v>596318</v>
      </c>
      <c r="C3312">
        <v>5792715</v>
      </c>
      <c r="D3312">
        <v>21</v>
      </c>
      <c r="E3312" t="s">
        <v>15</v>
      </c>
      <c r="F3312" t="s">
        <v>8059</v>
      </c>
      <c r="G3312">
        <v>8</v>
      </c>
      <c r="K3312" t="s">
        <v>935</v>
      </c>
      <c r="L3312" t="s">
        <v>8056</v>
      </c>
      <c r="M3312" s="3" t="str">
        <f>HYPERLINK("..\..\Imagery\ScannedPhotos\2007\CG07-123.6.jpg")</f>
        <v>..\..\Imagery\ScannedPhotos\2007\CG07-123.6.jpg</v>
      </c>
    </row>
    <row r="3313" spans="1:13" x14ac:dyDescent="0.25">
      <c r="A3313" t="s">
        <v>3506</v>
      </c>
      <c r="B3313">
        <v>596318</v>
      </c>
      <c r="C3313">
        <v>5792715</v>
      </c>
      <c r="D3313">
        <v>21</v>
      </c>
      <c r="E3313" t="s">
        <v>15</v>
      </c>
      <c r="F3313" t="s">
        <v>8060</v>
      </c>
      <c r="G3313">
        <v>8</v>
      </c>
      <c r="K3313" t="s">
        <v>935</v>
      </c>
      <c r="L3313" t="s">
        <v>8056</v>
      </c>
      <c r="M3313" s="3" t="str">
        <f>HYPERLINK("..\..\Imagery\ScannedPhotos\2007\CG07-123.8.jpg")</f>
        <v>..\..\Imagery\ScannedPhotos\2007\CG07-123.8.jpg</v>
      </c>
    </row>
    <row r="3314" spans="1:13" x14ac:dyDescent="0.25">
      <c r="A3314" t="s">
        <v>4134</v>
      </c>
      <c r="B3314">
        <v>449314</v>
      </c>
      <c r="C3314">
        <v>6060594</v>
      </c>
      <c r="D3314">
        <v>21</v>
      </c>
      <c r="E3314" t="s">
        <v>15</v>
      </c>
      <c r="F3314" t="s">
        <v>8061</v>
      </c>
      <c r="G3314">
        <v>3</v>
      </c>
      <c r="H3314" t="s">
        <v>4136</v>
      </c>
      <c r="I3314" t="s">
        <v>360</v>
      </c>
      <c r="J3314" t="s">
        <v>423</v>
      </c>
      <c r="K3314" t="s">
        <v>535</v>
      </c>
      <c r="L3314" t="s">
        <v>8062</v>
      </c>
      <c r="M3314" s="3" t="str">
        <f>HYPERLINK("..\..\Imagery\ScannedPhotos\1979\CG79-174.3.jpg")</f>
        <v>..\..\Imagery\ScannedPhotos\1979\CG79-174.3.jpg</v>
      </c>
    </row>
    <row r="3315" spans="1:13" x14ac:dyDescent="0.25">
      <c r="A3315" t="s">
        <v>8063</v>
      </c>
      <c r="B3315">
        <v>448956</v>
      </c>
      <c r="C3315">
        <v>6061813</v>
      </c>
      <c r="D3315">
        <v>21</v>
      </c>
      <c r="E3315" t="s">
        <v>15</v>
      </c>
      <c r="F3315" t="s">
        <v>8064</v>
      </c>
      <c r="G3315">
        <v>1</v>
      </c>
      <c r="H3315" t="s">
        <v>1833</v>
      </c>
      <c r="I3315" t="s">
        <v>360</v>
      </c>
      <c r="J3315" t="s">
        <v>610</v>
      </c>
      <c r="K3315" t="s">
        <v>20</v>
      </c>
      <c r="L3315" t="s">
        <v>8065</v>
      </c>
      <c r="M3315" s="3" t="str">
        <f>HYPERLINK("..\..\Imagery\ScannedPhotos\1979\CG79-176.jpg")</f>
        <v>..\..\Imagery\ScannedPhotos\1979\CG79-176.jpg</v>
      </c>
    </row>
    <row r="3316" spans="1:13" x14ac:dyDescent="0.25">
      <c r="A3316" t="s">
        <v>8066</v>
      </c>
      <c r="B3316">
        <v>445896</v>
      </c>
      <c r="C3316">
        <v>6064428</v>
      </c>
      <c r="D3316">
        <v>21</v>
      </c>
      <c r="E3316" t="s">
        <v>15</v>
      </c>
      <c r="F3316" t="s">
        <v>8067</v>
      </c>
      <c r="G3316">
        <v>2</v>
      </c>
      <c r="H3316" t="s">
        <v>1833</v>
      </c>
      <c r="I3316" t="s">
        <v>114</v>
      </c>
      <c r="J3316" t="s">
        <v>610</v>
      </c>
      <c r="K3316" t="s">
        <v>20</v>
      </c>
      <c r="L3316" t="s">
        <v>3364</v>
      </c>
      <c r="M3316" s="3" t="str">
        <f>HYPERLINK("..\..\Imagery\ScannedPhotos\1979\CG79-180.2.jpg")</f>
        <v>..\..\Imagery\ScannedPhotos\1979\CG79-180.2.jpg</v>
      </c>
    </row>
    <row r="3317" spans="1:13" x14ac:dyDescent="0.25">
      <c r="A3317" t="s">
        <v>8066</v>
      </c>
      <c r="B3317">
        <v>445896</v>
      </c>
      <c r="C3317">
        <v>6064428</v>
      </c>
      <c r="D3317">
        <v>21</v>
      </c>
      <c r="E3317" t="s">
        <v>15</v>
      </c>
      <c r="F3317" t="s">
        <v>8068</v>
      </c>
      <c r="G3317">
        <v>2</v>
      </c>
      <c r="H3317" t="s">
        <v>1833</v>
      </c>
      <c r="I3317" t="s">
        <v>30</v>
      </c>
      <c r="J3317" t="s">
        <v>610</v>
      </c>
      <c r="K3317" t="s">
        <v>20</v>
      </c>
      <c r="L3317" t="s">
        <v>3364</v>
      </c>
      <c r="M3317" s="3" t="str">
        <f>HYPERLINK("..\..\Imagery\ScannedPhotos\1979\CG79-180.1.jpg")</f>
        <v>..\..\Imagery\ScannedPhotos\1979\CG79-180.1.jpg</v>
      </c>
    </row>
    <row r="3318" spans="1:13" x14ac:dyDescent="0.25">
      <c r="A3318" t="s">
        <v>8069</v>
      </c>
      <c r="B3318">
        <v>452119</v>
      </c>
      <c r="C3318">
        <v>6060119</v>
      </c>
      <c r="D3318">
        <v>21</v>
      </c>
      <c r="E3318" t="s">
        <v>15</v>
      </c>
      <c r="F3318" t="s">
        <v>8070</v>
      </c>
      <c r="G3318">
        <v>1</v>
      </c>
      <c r="H3318" t="s">
        <v>1833</v>
      </c>
      <c r="I3318" t="s">
        <v>119</v>
      </c>
      <c r="J3318" t="s">
        <v>610</v>
      </c>
      <c r="K3318" t="s">
        <v>20</v>
      </c>
      <c r="L3318" t="s">
        <v>8071</v>
      </c>
      <c r="M3318" s="3" t="str">
        <f>HYPERLINK("..\..\Imagery\ScannedPhotos\1979\CG79-183.jpg")</f>
        <v>..\..\Imagery\ScannedPhotos\1979\CG79-183.jpg</v>
      </c>
    </row>
    <row r="3319" spans="1:13" x14ac:dyDescent="0.25">
      <c r="A3319" t="s">
        <v>8072</v>
      </c>
      <c r="B3319">
        <v>443456</v>
      </c>
      <c r="C3319">
        <v>6071477</v>
      </c>
      <c r="D3319">
        <v>21</v>
      </c>
      <c r="E3319" t="s">
        <v>15</v>
      </c>
      <c r="F3319" t="s">
        <v>8073</v>
      </c>
      <c r="G3319">
        <v>1</v>
      </c>
      <c r="H3319" t="s">
        <v>1833</v>
      </c>
      <c r="I3319" t="s">
        <v>122</v>
      </c>
      <c r="J3319" t="s">
        <v>610</v>
      </c>
      <c r="K3319" t="s">
        <v>20</v>
      </c>
      <c r="L3319" t="s">
        <v>8074</v>
      </c>
      <c r="M3319" s="3" t="str">
        <f>HYPERLINK("..\..\Imagery\ScannedPhotos\1979\CG79-195.jpg")</f>
        <v>..\..\Imagery\ScannedPhotos\1979\CG79-195.jpg</v>
      </c>
    </row>
    <row r="3320" spans="1:13" x14ac:dyDescent="0.25">
      <c r="A3320" t="s">
        <v>8075</v>
      </c>
      <c r="B3320">
        <v>435787</v>
      </c>
      <c r="C3320">
        <v>6069589</v>
      </c>
      <c r="D3320">
        <v>21</v>
      </c>
      <c r="E3320" t="s">
        <v>15</v>
      </c>
      <c r="F3320" t="s">
        <v>8076</v>
      </c>
      <c r="G3320">
        <v>5</v>
      </c>
      <c r="H3320" t="s">
        <v>1833</v>
      </c>
      <c r="I3320" t="s">
        <v>143</v>
      </c>
      <c r="J3320" t="s">
        <v>610</v>
      </c>
      <c r="K3320" t="s">
        <v>109</v>
      </c>
      <c r="L3320" t="s">
        <v>8077</v>
      </c>
      <c r="M3320" s="3" t="str">
        <f>HYPERLINK("..\..\Imagery\ScannedPhotos\1979\CG79-200.5.jpg")</f>
        <v>..\..\Imagery\ScannedPhotos\1979\CG79-200.5.jpg</v>
      </c>
    </row>
    <row r="3321" spans="1:13" x14ac:dyDescent="0.25">
      <c r="A3321" t="s">
        <v>8075</v>
      </c>
      <c r="B3321">
        <v>435787</v>
      </c>
      <c r="C3321">
        <v>6069589</v>
      </c>
      <c r="D3321">
        <v>21</v>
      </c>
      <c r="E3321" t="s">
        <v>15</v>
      </c>
      <c r="F3321" t="s">
        <v>8078</v>
      </c>
      <c r="G3321">
        <v>5</v>
      </c>
      <c r="H3321" t="s">
        <v>1833</v>
      </c>
      <c r="I3321" t="s">
        <v>129</v>
      </c>
      <c r="J3321" t="s">
        <v>610</v>
      </c>
      <c r="K3321" t="s">
        <v>535</v>
      </c>
      <c r="L3321" t="s">
        <v>3286</v>
      </c>
      <c r="M3321" s="3" t="str">
        <f>HYPERLINK("..\..\Imagery\ScannedPhotos\1979\CG79-200.4.jpg")</f>
        <v>..\..\Imagery\ScannedPhotos\1979\CG79-200.4.jpg</v>
      </c>
    </row>
    <row r="3322" spans="1:13" x14ac:dyDescent="0.25">
      <c r="A3322" t="s">
        <v>8075</v>
      </c>
      <c r="B3322">
        <v>435787</v>
      </c>
      <c r="C3322">
        <v>6069589</v>
      </c>
      <c r="D3322">
        <v>21</v>
      </c>
      <c r="E3322" t="s">
        <v>15</v>
      </c>
      <c r="F3322" t="s">
        <v>8079</v>
      </c>
      <c r="G3322">
        <v>5</v>
      </c>
      <c r="H3322" t="s">
        <v>1833</v>
      </c>
      <c r="I3322" t="s">
        <v>108</v>
      </c>
      <c r="J3322" t="s">
        <v>610</v>
      </c>
      <c r="K3322" t="s">
        <v>228</v>
      </c>
      <c r="L3322" t="s">
        <v>8080</v>
      </c>
      <c r="M3322" s="3" t="str">
        <f>HYPERLINK("..\..\Imagery\ScannedPhotos\1979\CG79-200.2.jpg")</f>
        <v>..\..\Imagery\ScannedPhotos\1979\CG79-200.2.jpg</v>
      </c>
    </row>
    <row r="3323" spans="1:13" x14ac:dyDescent="0.25">
      <c r="A3323" t="s">
        <v>8075</v>
      </c>
      <c r="B3323">
        <v>435787</v>
      </c>
      <c r="C3323">
        <v>6069589</v>
      </c>
      <c r="D3323">
        <v>21</v>
      </c>
      <c r="E3323" t="s">
        <v>15</v>
      </c>
      <c r="F3323" t="s">
        <v>8081</v>
      </c>
      <c r="G3323">
        <v>5</v>
      </c>
      <c r="H3323" t="s">
        <v>1833</v>
      </c>
      <c r="I3323" t="s">
        <v>132</v>
      </c>
      <c r="J3323" t="s">
        <v>610</v>
      </c>
      <c r="K3323" t="s">
        <v>20</v>
      </c>
      <c r="L3323" t="s">
        <v>8082</v>
      </c>
      <c r="M3323" s="3" t="str">
        <f>HYPERLINK("..\..\Imagery\ScannedPhotos\1979\CG79-200.3.jpg")</f>
        <v>..\..\Imagery\ScannedPhotos\1979\CG79-200.3.jpg</v>
      </c>
    </row>
    <row r="3324" spans="1:13" x14ac:dyDescent="0.25">
      <c r="A3324" t="s">
        <v>8075</v>
      </c>
      <c r="B3324">
        <v>435787</v>
      </c>
      <c r="C3324">
        <v>6069589</v>
      </c>
      <c r="D3324">
        <v>21</v>
      </c>
      <c r="E3324" t="s">
        <v>15</v>
      </c>
      <c r="F3324" t="s">
        <v>8083</v>
      </c>
      <c r="G3324">
        <v>5</v>
      </c>
      <c r="H3324" t="s">
        <v>1833</v>
      </c>
      <c r="I3324" t="s">
        <v>126</v>
      </c>
      <c r="J3324" t="s">
        <v>610</v>
      </c>
      <c r="K3324" t="s">
        <v>20</v>
      </c>
      <c r="L3324" t="s">
        <v>8084</v>
      </c>
      <c r="M3324" s="3" t="str">
        <f>HYPERLINK("..\..\Imagery\ScannedPhotos\1979\CG79-200.1.jpg")</f>
        <v>..\..\Imagery\ScannedPhotos\1979\CG79-200.1.jpg</v>
      </c>
    </row>
    <row r="3325" spans="1:13" x14ac:dyDescent="0.25">
      <c r="A3325" t="s">
        <v>8085</v>
      </c>
      <c r="B3325">
        <v>445674</v>
      </c>
      <c r="C3325">
        <v>6067167</v>
      </c>
      <c r="D3325">
        <v>21</v>
      </c>
      <c r="E3325" t="s">
        <v>15</v>
      </c>
      <c r="F3325" t="s">
        <v>8086</v>
      </c>
      <c r="G3325">
        <v>1</v>
      </c>
      <c r="H3325" t="s">
        <v>1833</v>
      </c>
      <c r="I3325" t="s">
        <v>147</v>
      </c>
      <c r="J3325" t="s">
        <v>610</v>
      </c>
      <c r="K3325" t="s">
        <v>20</v>
      </c>
      <c r="L3325" t="s">
        <v>8087</v>
      </c>
      <c r="M3325" s="3" t="str">
        <f>HYPERLINK("..\..\Imagery\ScannedPhotos\1979\CG79-216.jpg")</f>
        <v>..\..\Imagery\ScannedPhotos\1979\CG79-216.jpg</v>
      </c>
    </row>
    <row r="3326" spans="1:13" x14ac:dyDescent="0.25">
      <c r="A3326" t="s">
        <v>3284</v>
      </c>
      <c r="B3326">
        <v>391692</v>
      </c>
      <c r="C3326">
        <v>6080050</v>
      </c>
      <c r="D3326">
        <v>21</v>
      </c>
      <c r="E3326" t="s">
        <v>15</v>
      </c>
      <c r="F3326" t="s">
        <v>8088</v>
      </c>
      <c r="G3326">
        <v>3</v>
      </c>
      <c r="H3326" t="s">
        <v>1872</v>
      </c>
      <c r="I3326" t="s">
        <v>401</v>
      </c>
      <c r="J3326" t="s">
        <v>1873</v>
      </c>
      <c r="K3326" t="s">
        <v>20</v>
      </c>
      <c r="L3326" t="s">
        <v>8089</v>
      </c>
      <c r="M3326" s="3" t="str">
        <f>HYPERLINK("..\..\Imagery\ScannedPhotos\1979\CG79-048.1.jpg")</f>
        <v>..\..\Imagery\ScannedPhotos\1979\CG79-048.1.jpg</v>
      </c>
    </row>
    <row r="3327" spans="1:13" x14ac:dyDescent="0.25">
      <c r="A3327" t="s">
        <v>8090</v>
      </c>
      <c r="B3327">
        <v>394145</v>
      </c>
      <c r="C3327">
        <v>6080955</v>
      </c>
      <c r="D3327">
        <v>21</v>
      </c>
      <c r="E3327" t="s">
        <v>15</v>
      </c>
      <c r="F3327" t="s">
        <v>8091</v>
      </c>
      <c r="G3327">
        <v>2</v>
      </c>
      <c r="H3327" t="s">
        <v>1207</v>
      </c>
      <c r="I3327" t="s">
        <v>281</v>
      </c>
      <c r="J3327" t="s">
        <v>1208</v>
      </c>
      <c r="K3327" t="s">
        <v>20</v>
      </c>
      <c r="L3327" t="s">
        <v>8092</v>
      </c>
      <c r="M3327" s="3" t="str">
        <f>HYPERLINK("..\..\Imagery\ScannedPhotos\1979\CG79-050.1.jpg")</f>
        <v>..\..\Imagery\ScannedPhotos\1979\CG79-050.1.jpg</v>
      </c>
    </row>
    <row r="3328" spans="1:13" x14ac:dyDescent="0.25">
      <c r="A3328" t="s">
        <v>8093</v>
      </c>
      <c r="B3328">
        <v>402340</v>
      </c>
      <c r="C3328">
        <v>6080820</v>
      </c>
      <c r="D3328">
        <v>21</v>
      </c>
      <c r="E3328" t="s">
        <v>15</v>
      </c>
      <c r="F3328" t="s">
        <v>8094</v>
      </c>
      <c r="G3328">
        <v>2</v>
      </c>
      <c r="H3328" t="s">
        <v>1207</v>
      </c>
      <c r="I3328" t="s">
        <v>35</v>
      </c>
      <c r="J3328" t="s">
        <v>1208</v>
      </c>
      <c r="K3328" t="s">
        <v>20</v>
      </c>
      <c r="L3328" t="s">
        <v>3364</v>
      </c>
      <c r="M3328" s="3" t="str">
        <f>HYPERLINK("..\..\Imagery\ScannedPhotos\1979\CG79-054.1.jpg")</f>
        <v>..\..\Imagery\ScannedPhotos\1979\CG79-054.1.jpg</v>
      </c>
    </row>
    <row r="3329" spans="1:13" x14ac:dyDescent="0.25">
      <c r="A3329" t="s">
        <v>8095</v>
      </c>
      <c r="B3329">
        <v>410978</v>
      </c>
      <c r="C3329">
        <v>6077598</v>
      </c>
      <c r="D3329">
        <v>21</v>
      </c>
      <c r="E3329" t="s">
        <v>15</v>
      </c>
      <c r="F3329" t="s">
        <v>8096</v>
      </c>
      <c r="G3329">
        <v>2</v>
      </c>
      <c r="H3329" t="s">
        <v>1207</v>
      </c>
      <c r="I3329" t="s">
        <v>94</v>
      </c>
      <c r="J3329" t="s">
        <v>1208</v>
      </c>
      <c r="K3329" t="s">
        <v>20</v>
      </c>
      <c r="L3329" t="s">
        <v>8097</v>
      </c>
      <c r="M3329" s="3" t="str">
        <f>HYPERLINK("..\..\Imagery\ScannedPhotos\1979\CG79-065.2.jpg")</f>
        <v>..\..\Imagery\ScannedPhotos\1979\CG79-065.2.jpg</v>
      </c>
    </row>
    <row r="3330" spans="1:13" x14ac:dyDescent="0.25">
      <c r="A3330" t="s">
        <v>8098</v>
      </c>
      <c r="B3330">
        <v>476767</v>
      </c>
      <c r="C3330">
        <v>5787930</v>
      </c>
      <c r="D3330">
        <v>21</v>
      </c>
      <c r="E3330" t="s">
        <v>15</v>
      </c>
      <c r="F3330" t="s">
        <v>8099</v>
      </c>
      <c r="G3330">
        <v>1</v>
      </c>
      <c r="H3330" t="s">
        <v>813</v>
      </c>
      <c r="I3330" t="s">
        <v>114</v>
      </c>
      <c r="J3330" t="s">
        <v>814</v>
      </c>
      <c r="K3330" t="s">
        <v>56</v>
      </c>
      <c r="L3330" t="s">
        <v>8100</v>
      </c>
      <c r="M3330" s="3" t="str">
        <f>HYPERLINK("..\..\Imagery\ScannedPhotos\1986\CG86-700.jpg")</f>
        <v>..\..\Imagery\ScannedPhotos\1986\CG86-700.jpg</v>
      </c>
    </row>
    <row r="3331" spans="1:13" x14ac:dyDescent="0.25">
      <c r="A3331" t="s">
        <v>8101</v>
      </c>
      <c r="B3331">
        <v>410584</v>
      </c>
      <c r="C3331">
        <v>5995380</v>
      </c>
      <c r="D3331">
        <v>21</v>
      </c>
      <c r="E3331" t="s">
        <v>15</v>
      </c>
      <c r="F3331" t="s">
        <v>8102</v>
      </c>
      <c r="G3331">
        <v>1</v>
      </c>
      <c r="H3331" t="s">
        <v>1156</v>
      </c>
      <c r="I3331" t="s">
        <v>108</v>
      </c>
      <c r="J3331" t="s">
        <v>95</v>
      </c>
      <c r="K3331" t="s">
        <v>20</v>
      </c>
      <c r="L3331" t="s">
        <v>8103</v>
      </c>
      <c r="M3331" s="3" t="str">
        <f>HYPERLINK("..\..\Imagery\ScannedPhotos\1980\CG80-151.jpg")</f>
        <v>..\..\Imagery\ScannedPhotos\1980\CG80-151.jpg</v>
      </c>
    </row>
    <row r="3332" spans="1:13" x14ac:dyDescent="0.25">
      <c r="A3332" t="s">
        <v>6868</v>
      </c>
      <c r="B3332">
        <v>541209</v>
      </c>
      <c r="C3332">
        <v>5730894</v>
      </c>
      <c r="D3332">
        <v>21</v>
      </c>
      <c r="E3332" t="s">
        <v>15</v>
      </c>
      <c r="F3332" t="s">
        <v>8104</v>
      </c>
      <c r="G3332">
        <v>5</v>
      </c>
      <c r="H3332" t="s">
        <v>3597</v>
      </c>
      <c r="I3332" t="s">
        <v>132</v>
      </c>
      <c r="J3332" t="s">
        <v>3598</v>
      </c>
      <c r="K3332" t="s">
        <v>56</v>
      </c>
      <c r="L3332" t="s">
        <v>6870</v>
      </c>
      <c r="M3332" s="3" t="str">
        <f>HYPERLINK("..\..\Imagery\ScannedPhotos\1993\VN93-038.4.jpg")</f>
        <v>..\..\Imagery\ScannedPhotos\1993\VN93-038.4.jpg</v>
      </c>
    </row>
    <row r="3333" spans="1:13" x14ac:dyDescent="0.25">
      <c r="A3333" t="s">
        <v>6868</v>
      </c>
      <c r="B3333">
        <v>541209</v>
      </c>
      <c r="C3333">
        <v>5730894</v>
      </c>
      <c r="D3333">
        <v>21</v>
      </c>
      <c r="E3333" t="s">
        <v>15</v>
      </c>
      <c r="F3333" t="s">
        <v>8105</v>
      </c>
      <c r="G3333">
        <v>5</v>
      </c>
      <c r="H3333" t="s">
        <v>3597</v>
      </c>
      <c r="I3333" t="s">
        <v>108</v>
      </c>
      <c r="J3333" t="s">
        <v>3598</v>
      </c>
      <c r="K3333" t="s">
        <v>20</v>
      </c>
      <c r="L3333" t="s">
        <v>8106</v>
      </c>
      <c r="M3333" s="3" t="str">
        <f>HYPERLINK("..\..\Imagery\ScannedPhotos\1993\VN93-038.3.jpg")</f>
        <v>..\..\Imagery\ScannedPhotos\1993\VN93-038.3.jpg</v>
      </c>
    </row>
    <row r="3334" spans="1:13" x14ac:dyDescent="0.25">
      <c r="A3334" t="s">
        <v>8107</v>
      </c>
      <c r="B3334">
        <v>540537</v>
      </c>
      <c r="C3334">
        <v>5736299</v>
      </c>
      <c r="D3334">
        <v>21</v>
      </c>
      <c r="E3334" t="s">
        <v>15</v>
      </c>
      <c r="F3334" t="s">
        <v>8108</v>
      </c>
      <c r="G3334">
        <v>1</v>
      </c>
      <c r="K3334" t="s">
        <v>56</v>
      </c>
      <c r="L3334" t="s">
        <v>8109</v>
      </c>
      <c r="M3334" s="3" t="str">
        <f>HYPERLINK("..\..\Imagery\ScannedPhotos\2003\CG03-010.jpg")</f>
        <v>..\..\Imagery\ScannedPhotos\2003\CG03-010.jpg</v>
      </c>
    </row>
    <row r="3335" spans="1:13" x14ac:dyDescent="0.25">
      <c r="A3335" t="s">
        <v>8110</v>
      </c>
      <c r="B3335">
        <v>541000</v>
      </c>
      <c r="C3335">
        <v>5736972</v>
      </c>
      <c r="D3335">
        <v>21</v>
      </c>
      <c r="E3335" t="s">
        <v>15</v>
      </c>
      <c r="F3335" t="s">
        <v>8111</v>
      </c>
      <c r="G3335">
        <v>1</v>
      </c>
      <c r="K3335" t="s">
        <v>56</v>
      </c>
      <c r="L3335" t="s">
        <v>8112</v>
      </c>
      <c r="M3335" s="3" t="str">
        <f>HYPERLINK("..\..\Imagery\ScannedPhotos\2003\CG03-012.jpg")</f>
        <v>..\..\Imagery\ScannedPhotos\2003\CG03-012.jpg</v>
      </c>
    </row>
    <row r="3336" spans="1:13" x14ac:dyDescent="0.25">
      <c r="A3336" t="s">
        <v>8113</v>
      </c>
      <c r="B3336">
        <v>541621</v>
      </c>
      <c r="C3336">
        <v>5737702</v>
      </c>
      <c r="D3336">
        <v>21</v>
      </c>
      <c r="E3336" t="s">
        <v>15</v>
      </c>
      <c r="F3336" t="s">
        <v>8114</v>
      </c>
      <c r="G3336">
        <v>1</v>
      </c>
      <c r="K3336" t="s">
        <v>56</v>
      </c>
      <c r="L3336" t="s">
        <v>8115</v>
      </c>
      <c r="M3336" s="3" t="str">
        <f>HYPERLINK("..\..\Imagery\ScannedPhotos\2003\CG03-014.jpg")</f>
        <v>..\..\Imagery\ScannedPhotos\2003\CG03-014.jpg</v>
      </c>
    </row>
    <row r="3337" spans="1:13" x14ac:dyDescent="0.25">
      <c r="A3337" t="s">
        <v>8116</v>
      </c>
      <c r="B3337">
        <v>583179</v>
      </c>
      <c r="C3337">
        <v>5899512</v>
      </c>
      <c r="D3337">
        <v>21</v>
      </c>
      <c r="E3337" t="s">
        <v>15</v>
      </c>
      <c r="F3337" t="s">
        <v>8117</v>
      </c>
      <c r="G3337">
        <v>1</v>
      </c>
      <c r="H3337" t="s">
        <v>1373</v>
      </c>
      <c r="I3337" t="s">
        <v>41</v>
      </c>
      <c r="J3337" t="s">
        <v>1374</v>
      </c>
      <c r="K3337" t="s">
        <v>20</v>
      </c>
      <c r="L3337" t="s">
        <v>8118</v>
      </c>
      <c r="M3337" s="3" t="str">
        <f>HYPERLINK("..\..\Imagery\ScannedPhotos\1985\CG85-506.jpg")</f>
        <v>..\..\Imagery\ScannedPhotos\1985\CG85-506.jpg</v>
      </c>
    </row>
    <row r="3338" spans="1:13" x14ac:dyDescent="0.25">
      <c r="A3338" t="s">
        <v>8119</v>
      </c>
      <c r="B3338">
        <v>381551</v>
      </c>
      <c r="C3338">
        <v>5866230</v>
      </c>
      <c r="D3338">
        <v>21</v>
      </c>
      <c r="E3338" t="s">
        <v>15</v>
      </c>
      <c r="F3338" t="s">
        <v>8120</v>
      </c>
      <c r="G3338">
        <v>2</v>
      </c>
      <c r="H3338" t="s">
        <v>1919</v>
      </c>
      <c r="I3338" t="s">
        <v>281</v>
      </c>
      <c r="J3338" t="s">
        <v>771</v>
      </c>
      <c r="K3338" t="s">
        <v>20</v>
      </c>
      <c r="L3338" t="s">
        <v>116</v>
      </c>
      <c r="M3338" s="3" t="str">
        <f>HYPERLINK("..\..\Imagery\ScannedPhotos\1997\CG97-014.2.jpg")</f>
        <v>..\..\Imagery\ScannedPhotos\1997\CG97-014.2.jpg</v>
      </c>
    </row>
    <row r="3339" spans="1:13" x14ac:dyDescent="0.25">
      <c r="A3339" t="s">
        <v>8119</v>
      </c>
      <c r="B3339">
        <v>381551</v>
      </c>
      <c r="C3339">
        <v>5866230</v>
      </c>
      <c r="D3339">
        <v>21</v>
      </c>
      <c r="E3339" t="s">
        <v>15</v>
      </c>
      <c r="F3339" t="s">
        <v>8121</v>
      </c>
      <c r="G3339">
        <v>2</v>
      </c>
      <c r="H3339" t="s">
        <v>1919</v>
      </c>
      <c r="I3339" t="s">
        <v>79</v>
      </c>
      <c r="J3339" t="s">
        <v>771</v>
      </c>
      <c r="K3339" t="s">
        <v>20</v>
      </c>
      <c r="L3339" t="s">
        <v>803</v>
      </c>
      <c r="M3339" s="3" t="str">
        <f>HYPERLINK("..\..\Imagery\ScannedPhotos\1997\CG97-014.1.jpg")</f>
        <v>..\..\Imagery\ScannedPhotos\1997\CG97-014.1.jpg</v>
      </c>
    </row>
    <row r="3340" spans="1:13" x14ac:dyDescent="0.25">
      <c r="A3340" t="s">
        <v>8122</v>
      </c>
      <c r="B3340">
        <v>378638</v>
      </c>
      <c r="C3340">
        <v>5867467</v>
      </c>
      <c r="D3340">
        <v>21</v>
      </c>
      <c r="E3340" t="s">
        <v>15</v>
      </c>
      <c r="F3340" t="s">
        <v>8123</v>
      </c>
      <c r="G3340">
        <v>1</v>
      </c>
      <c r="H3340" t="s">
        <v>1919</v>
      </c>
      <c r="I3340" t="s">
        <v>137</v>
      </c>
      <c r="J3340" t="s">
        <v>771</v>
      </c>
      <c r="K3340" t="s">
        <v>56</v>
      </c>
      <c r="L3340" t="s">
        <v>8124</v>
      </c>
      <c r="M3340" s="3" t="str">
        <f>HYPERLINK("..\..\Imagery\ScannedPhotos\1997\CG97-015.jpg")</f>
        <v>..\..\Imagery\ScannedPhotos\1997\CG97-015.jpg</v>
      </c>
    </row>
    <row r="3341" spans="1:13" x14ac:dyDescent="0.25">
      <c r="A3341" t="s">
        <v>8125</v>
      </c>
      <c r="B3341">
        <v>384055</v>
      </c>
      <c r="C3341">
        <v>5857879</v>
      </c>
      <c r="D3341">
        <v>21</v>
      </c>
      <c r="E3341" t="s">
        <v>15</v>
      </c>
      <c r="F3341" t="s">
        <v>8126</v>
      </c>
      <c r="G3341">
        <v>1</v>
      </c>
      <c r="H3341" t="s">
        <v>1919</v>
      </c>
      <c r="I3341" t="s">
        <v>35</v>
      </c>
      <c r="J3341" t="s">
        <v>771</v>
      </c>
      <c r="K3341" t="s">
        <v>56</v>
      </c>
      <c r="L3341" t="s">
        <v>8127</v>
      </c>
      <c r="M3341" s="3" t="str">
        <f>HYPERLINK("..\..\Imagery\ScannedPhotos\1997\CG97-022.jpg")</f>
        <v>..\..\Imagery\ScannedPhotos\1997\CG97-022.jpg</v>
      </c>
    </row>
    <row r="3342" spans="1:13" x14ac:dyDescent="0.25">
      <c r="A3342" t="s">
        <v>8128</v>
      </c>
      <c r="B3342">
        <v>383200</v>
      </c>
      <c r="C3342">
        <v>6103575</v>
      </c>
      <c r="D3342">
        <v>21</v>
      </c>
      <c r="E3342" t="s">
        <v>15</v>
      </c>
      <c r="F3342" t="s">
        <v>8129</v>
      </c>
      <c r="G3342">
        <v>2</v>
      </c>
      <c r="H3342" t="s">
        <v>208</v>
      </c>
      <c r="I3342" t="s">
        <v>418</v>
      </c>
      <c r="J3342" t="s">
        <v>210</v>
      </c>
      <c r="K3342" t="s">
        <v>20</v>
      </c>
      <c r="L3342" t="s">
        <v>8130</v>
      </c>
      <c r="M3342" s="3" t="str">
        <f>HYPERLINK("..\..\Imagery\ScannedPhotos\1979\AD79-090.1.jpg")</f>
        <v>..\..\Imagery\ScannedPhotos\1979\AD79-090.1.jpg</v>
      </c>
    </row>
    <row r="3343" spans="1:13" x14ac:dyDescent="0.25">
      <c r="A3343" t="s">
        <v>8128</v>
      </c>
      <c r="B3343">
        <v>383200</v>
      </c>
      <c r="C3343">
        <v>6103575</v>
      </c>
      <c r="D3343">
        <v>21</v>
      </c>
      <c r="E3343" t="s">
        <v>15</v>
      </c>
      <c r="F3343" t="s">
        <v>8131</v>
      </c>
      <c r="G3343">
        <v>2</v>
      </c>
      <c r="H3343" t="s">
        <v>208</v>
      </c>
      <c r="I3343" t="s">
        <v>304</v>
      </c>
      <c r="J3343" t="s">
        <v>210</v>
      </c>
      <c r="K3343" t="s">
        <v>20</v>
      </c>
      <c r="L3343" t="s">
        <v>8132</v>
      </c>
      <c r="M3343" s="3" t="str">
        <f>HYPERLINK("..\..\Imagery\ScannedPhotos\1979\AD79-090.2.jpg")</f>
        <v>..\..\Imagery\ScannedPhotos\1979\AD79-090.2.jpg</v>
      </c>
    </row>
    <row r="3344" spans="1:13" x14ac:dyDescent="0.25">
      <c r="A3344" t="s">
        <v>3402</v>
      </c>
      <c r="B3344">
        <v>317952</v>
      </c>
      <c r="C3344">
        <v>5790148</v>
      </c>
      <c r="D3344">
        <v>21</v>
      </c>
      <c r="E3344" t="s">
        <v>15</v>
      </c>
      <c r="F3344" t="s">
        <v>8133</v>
      </c>
      <c r="G3344">
        <v>6</v>
      </c>
      <c r="H3344" t="s">
        <v>3404</v>
      </c>
      <c r="I3344" t="s">
        <v>375</v>
      </c>
      <c r="J3344" t="s">
        <v>80</v>
      </c>
      <c r="K3344" t="s">
        <v>535</v>
      </c>
      <c r="L3344" t="s">
        <v>8134</v>
      </c>
      <c r="M3344" s="3" t="str">
        <f>HYPERLINK("..\..\Imagery\ScannedPhotos\2000\CG00-043.4.jpg")</f>
        <v>..\..\Imagery\ScannedPhotos\2000\CG00-043.4.jpg</v>
      </c>
    </row>
    <row r="3345" spans="1:13" x14ac:dyDescent="0.25">
      <c r="A3345" t="s">
        <v>8135</v>
      </c>
      <c r="B3345">
        <v>574110</v>
      </c>
      <c r="C3345">
        <v>5837000</v>
      </c>
      <c r="D3345">
        <v>21</v>
      </c>
      <c r="E3345" t="s">
        <v>15</v>
      </c>
      <c r="F3345" t="s">
        <v>8136</v>
      </c>
      <c r="G3345">
        <v>2</v>
      </c>
      <c r="H3345" t="s">
        <v>3162</v>
      </c>
      <c r="I3345" t="s">
        <v>294</v>
      </c>
      <c r="J3345" t="s">
        <v>3163</v>
      </c>
      <c r="K3345" t="s">
        <v>20</v>
      </c>
      <c r="L3345" t="s">
        <v>8137</v>
      </c>
      <c r="M3345" s="3" t="str">
        <f>HYPERLINK("..\..\Imagery\ScannedPhotos\1986\SN86-336.1.jpg")</f>
        <v>..\..\Imagery\ScannedPhotos\1986\SN86-336.1.jpg</v>
      </c>
    </row>
    <row r="3346" spans="1:13" x14ac:dyDescent="0.25">
      <c r="A3346" t="s">
        <v>8135</v>
      </c>
      <c r="B3346">
        <v>574110</v>
      </c>
      <c r="C3346">
        <v>5837000</v>
      </c>
      <c r="D3346">
        <v>21</v>
      </c>
      <c r="E3346" t="s">
        <v>15</v>
      </c>
      <c r="F3346" t="s">
        <v>8138</v>
      </c>
      <c r="G3346">
        <v>2</v>
      </c>
      <c r="H3346" t="s">
        <v>3162</v>
      </c>
      <c r="I3346" t="s">
        <v>79</v>
      </c>
      <c r="J3346" t="s">
        <v>3163</v>
      </c>
      <c r="K3346" t="s">
        <v>20</v>
      </c>
      <c r="L3346" t="s">
        <v>8139</v>
      </c>
      <c r="M3346" s="3" t="str">
        <f>HYPERLINK("..\..\Imagery\ScannedPhotos\1986\SN86-336.2.jpg")</f>
        <v>..\..\Imagery\ScannedPhotos\1986\SN86-336.2.jpg</v>
      </c>
    </row>
    <row r="3347" spans="1:13" x14ac:dyDescent="0.25">
      <c r="A3347" t="s">
        <v>3824</v>
      </c>
      <c r="B3347">
        <v>565210</v>
      </c>
      <c r="C3347">
        <v>5845728</v>
      </c>
      <c r="D3347">
        <v>21</v>
      </c>
      <c r="E3347" t="s">
        <v>15</v>
      </c>
      <c r="F3347" t="s">
        <v>8140</v>
      </c>
      <c r="G3347">
        <v>4</v>
      </c>
      <c r="H3347" t="s">
        <v>3162</v>
      </c>
      <c r="I3347" t="s">
        <v>69</v>
      </c>
      <c r="J3347" t="s">
        <v>3163</v>
      </c>
      <c r="K3347" t="s">
        <v>20</v>
      </c>
      <c r="L3347" t="s">
        <v>8141</v>
      </c>
      <c r="M3347" s="3" t="str">
        <f>HYPERLINK("..\..\Imagery\ScannedPhotos\1986\SN86-337.1.jpg")</f>
        <v>..\..\Imagery\ScannedPhotos\1986\SN86-337.1.jpg</v>
      </c>
    </row>
    <row r="3348" spans="1:13" x14ac:dyDescent="0.25">
      <c r="A3348" t="s">
        <v>3824</v>
      </c>
      <c r="B3348">
        <v>565210</v>
      </c>
      <c r="C3348">
        <v>5845728</v>
      </c>
      <c r="D3348">
        <v>21</v>
      </c>
      <c r="E3348" t="s">
        <v>15</v>
      </c>
      <c r="F3348" t="s">
        <v>8142</v>
      </c>
      <c r="G3348">
        <v>4</v>
      </c>
      <c r="H3348" t="s">
        <v>3162</v>
      </c>
      <c r="I3348" t="s">
        <v>41</v>
      </c>
      <c r="J3348" t="s">
        <v>3163</v>
      </c>
      <c r="K3348" t="s">
        <v>20</v>
      </c>
      <c r="L3348" t="s">
        <v>8143</v>
      </c>
      <c r="M3348" s="3" t="str">
        <f>HYPERLINK("..\..\Imagery\ScannedPhotos\1986\SN86-337.3.jpg")</f>
        <v>..\..\Imagery\ScannedPhotos\1986\SN86-337.3.jpg</v>
      </c>
    </row>
    <row r="3349" spans="1:13" x14ac:dyDescent="0.25">
      <c r="A3349" t="s">
        <v>3824</v>
      </c>
      <c r="B3349">
        <v>565210</v>
      </c>
      <c r="C3349">
        <v>5845728</v>
      </c>
      <c r="D3349">
        <v>21</v>
      </c>
      <c r="E3349" t="s">
        <v>15</v>
      </c>
      <c r="F3349" t="s">
        <v>8144</v>
      </c>
      <c r="G3349">
        <v>4</v>
      </c>
      <c r="H3349" t="s">
        <v>3162</v>
      </c>
      <c r="I3349" t="s">
        <v>74</v>
      </c>
      <c r="J3349" t="s">
        <v>3163</v>
      </c>
      <c r="K3349" t="s">
        <v>20</v>
      </c>
      <c r="L3349" t="s">
        <v>8145</v>
      </c>
      <c r="M3349" s="3" t="str">
        <f>HYPERLINK("..\..\Imagery\ScannedPhotos\1986\SN86-337.2.jpg")</f>
        <v>..\..\Imagery\ScannedPhotos\1986\SN86-337.2.jpg</v>
      </c>
    </row>
    <row r="3350" spans="1:13" x14ac:dyDescent="0.25">
      <c r="A3350" t="s">
        <v>3402</v>
      </c>
      <c r="B3350">
        <v>317952</v>
      </c>
      <c r="C3350">
        <v>5790148</v>
      </c>
      <c r="D3350">
        <v>21</v>
      </c>
      <c r="E3350" t="s">
        <v>15</v>
      </c>
      <c r="F3350" t="s">
        <v>8146</v>
      </c>
      <c r="G3350">
        <v>6</v>
      </c>
      <c r="H3350" t="s">
        <v>3404</v>
      </c>
      <c r="I3350" t="s">
        <v>209</v>
      </c>
      <c r="J3350" t="s">
        <v>80</v>
      </c>
      <c r="K3350" t="s">
        <v>535</v>
      </c>
      <c r="L3350" t="s">
        <v>8147</v>
      </c>
      <c r="M3350" s="3" t="str">
        <f>HYPERLINK("..\..\Imagery\ScannedPhotos\2000\CG00-043.6.jpg")</f>
        <v>..\..\Imagery\ScannedPhotos\2000\CG00-043.6.jpg</v>
      </c>
    </row>
    <row r="3351" spans="1:13" x14ac:dyDescent="0.25">
      <c r="A3351" t="s">
        <v>3402</v>
      </c>
      <c r="B3351">
        <v>317952</v>
      </c>
      <c r="C3351">
        <v>5790148</v>
      </c>
      <c r="D3351">
        <v>21</v>
      </c>
      <c r="E3351" t="s">
        <v>15</v>
      </c>
      <c r="F3351" t="s">
        <v>8148</v>
      </c>
      <c r="G3351">
        <v>6</v>
      </c>
      <c r="H3351" t="s">
        <v>78</v>
      </c>
      <c r="I3351" t="s">
        <v>47</v>
      </c>
      <c r="J3351" t="s">
        <v>80</v>
      </c>
      <c r="K3351" t="s">
        <v>535</v>
      </c>
      <c r="L3351" t="s">
        <v>8149</v>
      </c>
      <c r="M3351" s="3" t="str">
        <f>HYPERLINK("..\..\Imagery\ScannedPhotos\2000\CG00-043.1.jpg")</f>
        <v>..\..\Imagery\ScannedPhotos\2000\CG00-043.1.jpg</v>
      </c>
    </row>
    <row r="3352" spans="1:13" x14ac:dyDescent="0.25">
      <c r="A3352" t="s">
        <v>8150</v>
      </c>
      <c r="B3352">
        <v>327227</v>
      </c>
      <c r="C3352">
        <v>5771959</v>
      </c>
      <c r="D3352">
        <v>21</v>
      </c>
      <c r="E3352" t="s">
        <v>15</v>
      </c>
      <c r="F3352" t="s">
        <v>8151</v>
      </c>
      <c r="G3352">
        <v>2</v>
      </c>
      <c r="H3352" t="s">
        <v>78</v>
      </c>
      <c r="I3352" t="s">
        <v>209</v>
      </c>
      <c r="J3352" t="s">
        <v>80</v>
      </c>
      <c r="K3352" t="s">
        <v>228</v>
      </c>
      <c r="L3352" t="s">
        <v>8152</v>
      </c>
      <c r="M3352" s="3" t="str">
        <f>HYPERLINK("..\..\Imagery\ScannedPhotos\2000\CG00-087.1.jpg")</f>
        <v>..\..\Imagery\ScannedPhotos\2000\CG00-087.1.jpg</v>
      </c>
    </row>
    <row r="3353" spans="1:13" x14ac:dyDescent="0.25">
      <c r="A3353" t="s">
        <v>8150</v>
      </c>
      <c r="B3353">
        <v>327227</v>
      </c>
      <c r="C3353">
        <v>5771959</v>
      </c>
      <c r="D3353">
        <v>21</v>
      </c>
      <c r="E3353" t="s">
        <v>15</v>
      </c>
      <c r="F3353" t="s">
        <v>8153</v>
      </c>
      <c r="G3353">
        <v>2</v>
      </c>
      <c r="H3353" t="s">
        <v>78</v>
      </c>
      <c r="I3353" t="s">
        <v>386</v>
      </c>
      <c r="J3353" t="s">
        <v>80</v>
      </c>
      <c r="K3353" t="s">
        <v>228</v>
      </c>
      <c r="L3353" t="s">
        <v>8154</v>
      </c>
      <c r="M3353" s="3" t="str">
        <f>HYPERLINK("..\..\Imagery\ScannedPhotos\2000\CG00-087.2.jpg")</f>
        <v>..\..\Imagery\ScannedPhotos\2000\CG00-087.2.jpg</v>
      </c>
    </row>
    <row r="3354" spans="1:13" x14ac:dyDescent="0.25">
      <c r="A3354" t="s">
        <v>3746</v>
      </c>
      <c r="B3354">
        <v>566103</v>
      </c>
      <c r="C3354">
        <v>5837012</v>
      </c>
      <c r="D3354">
        <v>21</v>
      </c>
      <c r="E3354" t="s">
        <v>15</v>
      </c>
      <c r="F3354" t="s">
        <v>8155</v>
      </c>
      <c r="G3354">
        <v>13</v>
      </c>
      <c r="K3354" t="s">
        <v>20</v>
      </c>
      <c r="L3354" t="s">
        <v>3755</v>
      </c>
      <c r="M3354" s="3" t="str">
        <f>HYPERLINK("..\..\Imagery\ScannedPhotos\2004\CG04-106.2.jpg")</f>
        <v>..\..\Imagery\ScannedPhotos\2004\CG04-106.2.jpg</v>
      </c>
    </row>
    <row r="3355" spans="1:13" x14ac:dyDescent="0.25">
      <c r="A3355" t="s">
        <v>2721</v>
      </c>
      <c r="B3355">
        <v>494465</v>
      </c>
      <c r="C3355">
        <v>5825015</v>
      </c>
      <c r="D3355">
        <v>21</v>
      </c>
      <c r="E3355" t="s">
        <v>15</v>
      </c>
      <c r="F3355" t="s">
        <v>8156</v>
      </c>
      <c r="G3355">
        <v>4</v>
      </c>
      <c r="H3355" t="s">
        <v>792</v>
      </c>
      <c r="I3355" t="s">
        <v>79</v>
      </c>
      <c r="J3355" t="s">
        <v>793</v>
      </c>
      <c r="K3355" t="s">
        <v>20</v>
      </c>
      <c r="L3355" t="s">
        <v>6640</v>
      </c>
      <c r="M3355" s="3" t="str">
        <f>HYPERLINK("..\..\Imagery\ScannedPhotos\1991\VN91-292.1.jpg")</f>
        <v>..\..\Imagery\ScannedPhotos\1991\VN91-292.1.jpg</v>
      </c>
    </row>
    <row r="3356" spans="1:13" x14ac:dyDescent="0.25">
      <c r="A3356" t="s">
        <v>2721</v>
      </c>
      <c r="B3356">
        <v>494465</v>
      </c>
      <c r="C3356">
        <v>5825015</v>
      </c>
      <c r="D3356">
        <v>21</v>
      </c>
      <c r="E3356" t="s">
        <v>15</v>
      </c>
      <c r="F3356" t="s">
        <v>8157</v>
      </c>
      <c r="G3356">
        <v>4</v>
      </c>
      <c r="H3356" t="s">
        <v>792</v>
      </c>
      <c r="I3356" t="s">
        <v>18</v>
      </c>
      <c r="J3356" t="s">
        <v>793</v>
      </c>
      <c r="K3356" t="s">
        <v>56</v>
      </c>
      <c r="L3356" t="s">
        <v>8158</v>
      </c>
      <c r="M3356" s="3" t="str">
        <f>HYPERLINK("..\..\Imagery\ScannedPhotos\1991\VN91-292.4.jpg")</f>
        <v>..\..\Imagery\ScannedPhotos\1991\VN91-292.4.jpg</v>
      </c>
    </row>
    <row r="3357" spans="1:13" x14ac:dyDescent="0.25">
      <c r="A3357" t="s">
        <v>8159</v>
      </c>
      <c r="B3357">
        <v>535030</v>
      </c>
      <c r="C3357">
        <v>5733626</v>
      </c>
      <c r="D3357">
        <v>21</v>
      </c>
      <c r="E3357" t="s">
        <v>15</v>
      </c>
      <c r="F3357" t="s">
        <v>8160</v>
      </c>
      <c r="G3357">
        <v>4</v>
      </c>
      <c r="H3357" t="s">
        <v>2355</v>
      </c>
      <c r="I3357" t="s">
        <v>418</v>
      </c>
      <c r="J3357" t="s">
        <v>886</v>
      </c>
      <c r="K3357" t="s">
        <v>20</v>
      </c>
      <c r="L3357" t="s">
        <v>8161</v>
      </c>
      <c r="M3357" s="3" t="str">
        <f>HYPERLINK("..\..\Imagery\ScannedPhotos\1993\VN93-050.4.jpg")</f>
        <v>..\..\Imagery\ScannedPhotos\1993\VN93-050.4.jpg</v>
      </c>
    </row>
    <row r="3358" spans="1:13" x14ac:dyDescent="0.25">
      <c r="A3358" t="s">
        <v>8159</v>
      </c>
      <c r="B3358">
        <v>535030</v>
      </c>
      <c r="C3358">
        <v>5733626</v>
      </c>
      <c r="D3358">
        <v>21</v>
      </c>
      <c r="E3358" t="s">
        <v>15</v>
      </c>
      <c r="F3358" t="s">
        <v>8162</v>
      </c>
      <c r="G3358">
        <v>4</v>
      </c>
      <c r="H3358" t="s">
        <v>2355</v>
      </c>
      <c r="I3358" t="s">
        <v>222</v>
      </c>
      <c r="J3358" t="s">
        <v>886</v>
      </c>
      <c r="K3358" t="s">
        <v>20</v>
      </c>
      <c r="L3358" t="s">
        <v>8163</v>
      </c>
      <c r="M3358" s="3" t="str">
        <f>HYPERLINK("..\..\Imagery\ScannedPhotos\1993\VN93-050.3.jpg")</f>
        <v>..\..\Imagery\ScannedPhotos\1993\VN93-050.3.jpg</v>
      </c>
    </row>
    <row r="3359" spans="1:13" x14ac:dyDescent="0.25">
      <c r="A3359" t="s">
        <v>8159</v>
      </c>
      <c r="B3359">
        <v>535030</v>
      </c>
      <c r="C3359">
        <v>5733626</v>
      </c>
      <c r="D3359">
        <v>21</v>
      </c>
      <c r="E3359" t="s">
        <v>15</v>
      </c>
      <c r="F3359" t="s">
        <v>8164</v>
      </c>
      <c r="G3359">
        <v>4</v>
      </c>
      <c r="H3359" t="s">
        <v>2355</v>
      </c>
      <c r="I3359" t="s">
        <v>214</v>
      </c>
      <c r="J3359" t="s">
        <v>886</v>
      </c>
      <c r="K3359" t="s">
        <v>20</v>
      </c>
      <c r="L3359" t="s">
        <v>8165</v>
      </c>
      <c r="M3359" s="3" t="str">
        <f>HYPERLINK("..\..\Imagery\ScannedPhotos\1993\VN93-050.2.jpg")</f>
        <v>..\..\Imagery\ScannedPhotos\1993\VN93-050.2.jpg</v>
      </c>
    </row>
    <row r="3360" spans="1:13" x14ac:dyDescent="0.25">
      <c r="A3360" t="s">
        <v>8159</v>
      </c>
      <c r="B3360">
        <v>535030</v>
      </c>
      <c r="C3360">
        <v>5733626</v>
      </c>
      <c r="D3360">
        <v>21</v>
      </c>
      <c r="E3360" t="s">
        <v>15</v>
      </c>
      <c r="F3360" t="s">
        <v>8166</v>
      </c>
      <c r="G3360">
        <v>4</v>
      </c>
      <c r="H3360" t="s">
        <v>2355</v>
      </c>
      <c r="I3360" t="s">
        <v>217</v>
      </c>
      <c r="J3360" t="s">
        <v>886</v>
      </c>
      <c r="K3360" t="s">
        <v>20</v>
      </c>
      <c r="L3360" t="s">
        <v>8167</v>
      </c>
      <c r="M3360" s="3" t="str">
        <f>HYPERLINK("..\..\Imagery\ScannedPhotos\1993\VN93-050.1.jpg")</f>
        <v>..\..\Imagery\ScannedPhotos\1993\VN93-050.1.jpg</v>
      </c>
    </row>
    <row r="3361" spans="1:13" x14ac:dyDescent="0.25">
      <c r="A3361" t="s">
        <v>8168</v>
      </c>
      <c r="B3361">
        <v>535210</v>
      </c>
      <c r="C3361">
        <v>5734410</v>
      </c>
      <c r="D3361">
        <v>21</v>
      </c>
      <c r="E3361" t="s">
        <v>15</v>
      </c>
      <c r="F3361" t="s">
        <v>8169</v>
      </c>
      <c r="G3361">
        <v>2</v>
      </c>
      <c r="H3361" t="s">
        <v>2355</v>
      </c>
      <c r="I3361" t="s">
        <v>304</v>
      </c>
      <c r="J3361" t="s">
        <v>886</v>
      </c>
      <c r="K3361" t="s">
        <v>20</v>
      </c>
      <c r="L3361" t="s">
        <v>8170</v>
      </c>
      <c r="M3361" s="3" t="str">
        <f>HYPERLINK("..\..\Imagery\ScannedPhotos\1993\VN93-052.1.jpg")</f>
        <v>..\..\Imagery\ScannedPhotos\1993\VN93-052.1.jpg</v>
      </c>
    </row>
    <row r="3362" spans="1:13" x14ac:dyDescent="0.25">
      <c r="A3362" t="s">
        <v>3526</v>
      </c>
      <c r="B3362">
        <v>534500</v>
      </c>
      <c r="C3362">
        <v>5725820</v>
      </c>
      <c r="D3362">
        <v>21</v>
      </c>
      <c r="E3362" t="s">
        <v>15</v>
      </c>
      <c r="F3362" t="s">
        <v>8171</v>
      </c>
      <c r="G3362">
        <v>3</v>
      </c>
      <c r="H3362" t="s">
        <v>885</v>
      </c>
      <c r="I3362" t="s">
        <v>119</v>
      </c>
      <c r="J3362" t="s">
        <v>886</v>
      </c>
      <c r="K3362" t="s">
        <v>20</v>
      </c>
      <c r="L3362" t="s">
        <v>3528</v>
      </c>
      <c r="M3362" s="3" t="str">
        <f>HYPERLINK("..\..\Imagery\ScannedPhotos\1993\CG93-122.2.jpg")</f>
        <v>..\..\Imagery\ScannedPhotos\1993\CG93-122.2.jpg</v>
      </c>
    </row>
    <row r="3363" spans="1:13" x14ac:dyDescent="0.25">
      <c r="A3363" t="s">
        <v>8172</v>
      </c>
      <c r="B3363">
        <v>336171</v>
      </c>
      <c r="C3363">
        <v>5789980</v>
      </c>
      <c r="D3363">
        <v>21</v>
      </c>
      <c r="E3363" t="s">
        <v>15</v>
      </c>
      <c r="F3363" t="s">
        <v>8173</v>
      </c>
      <c r="G3363">
        <v>1</v>
      </c>
      <c r="H3363" t="s">
        <v>78</v>
      </c>
      <c r="I3363" t="s">
        <v>114</v>
      </c>
      <c r="J3363" t="s">
        <v>80</v>
      </c>
      <c r="K3363" t="s">
        <v>56</v>
      </c>
      <c r="L3363" t="s">
        <v>8174</v>
      </c>
      <c r="M3363" s="3" t="str">
        <f>HYPERLINK("..\..\Imagery\ScannedPhotos\2000\CG00-185.jpg")</f>
        <v>..\..\Imagery\ScannedPhotos\2000\CG00-185.jpg</v>
      </c>
    </row>
    <row r="3364" spans="1:13" x14ac:dyDescent="0.25">
      <c r="A3364" t="s">
        <v>8175</v>
      </c>
      <c r="B3364">
        <v>329162</v>
      </c>
      <c r="C3364">
        <v>5799674</v>
      </c>
      <c r="D3364">
        <v>21</v>
      </c>
      <c r="E3364" t="s">
        <v>15</v>
      </c>
      <c r="F3364" t="s">
        <v>8176</v>
      </c>
      <c r="G3364">
        <v>1</v>
      </c>
      <c r="H3364" t="s">
        <v>78</v>
      </c>
      <c r="I3364" t="s">
        <v>119</v>
      </c>
      <c r="J3364" t="s">
        <v>80</v>
      </c>
      <c r="K3364" t="s">
        <v>20</v>
      </c>
      <c r="L3364" t="s">
        <v>2632</v>
      </c>
      <c r="M3364" s="3" t="str">
        <f>HYPERLINK("..\..\Imagery\ScannedPhotos\2000\CG00-191.jpg")</f>
        <v>..\..\Imagery\ScannedPhotos\2000\CG00-191.jpg</v>
      </c>
    </row>
    <row r="3365" spans="1:13" x14ac:dyDescent="0.25">
      <c r="A3365" t="s">
        <v>8177</v>
      </c>
      <c r="B3365">
        <v>338251</v>
      </c>
      <c r="C3365">
        <v>5785124</v>
      </c>
      <c r="D3365">
        <v>21</v>
      </c>
      <c r="E3365" t="s">
        <v>15</v>
      </c>
      <c r="F3365" t="s">
        <v>8178</v>
      </c>
      <c r="G3365">
        <v>1</v>
      </c>
      <c r="H3365" t="s">
        <v>78</v>
      </c>
      <c r="I3365" t="s">
        <v>122</v>
      </c>
      <c r="J3365" t="s">
        <v>80</v>
      </c>
      <c r="K3365" t="s">
        <v>20</v>
      </c>
      <c r="L3365" t="s">
        <v>2632</v>
      </c>
      <c r="M3365" s="3" t="str">
        <f>HYPERLINK("..\..\Imagery\ScannedPhotos\2000\CG00-195.jpg")</f>
        <v>..\..\Imagery\ScannedPhotos\2000\CG00-195.jpg</v>
      </c>
    </row>
    <row r="3366" spans="1:13" x14ac:dyDescent="0.25">
      <c r="A3366" t="s">
        <v>8179</v>
      </c>
      <c r="B3366">
        <v>338535</v>
      </c>
      <c r="C3366">
        <v>5783217</v>
      </c>
      <c r="D3366">
        <v>21</v>
      </c>
      <c r="E3366" t="s">
        <v>15</v>
      </c>
      <c r="F3366" t="s">
        <v>8180</v>
      </c>
      <c r="G3366">
        <v>1</v>
      </c>
      <c r="H3366" t="s">
        <v>78</v>
      </c>
      <c r="I3366" t="s">
        <v>126</v>
      </c>
      <c r="J3366" t="s">
        <v>80</v>
      </c>
      <c r="K3366" t="s">
        <v>20</v>
      </c>
      <c r="L3366" t="s">
        <v>8181</v>
      </c>
      <c r="M3366" s="3" t="str">
        <f>HYPERLINK("..\..\Imagery\ScannedPhotos\2000\CG00-196.jpg")</f>
        <v>..\..\Imagery\ScannedPhotos\2000\CG00-196.jpg</v>
      </c>
    </row>
    <row r="3367" spans="1:13" x14ac:dyDescent="0.25">
      <c r="A3367" t="s">
        <v>8182</v>
      </c>
      <c r="B3367">
        <v>341643</v>
      </c>
      <c r="C3367">
        <v>5779884</v>
      </c>
      <c r="D3367">
        <v>21</v>
      </c>
      <c r="E3367" t="s">
        <v>15</v>
      </c>
      <c r="F3367" t="s">
        <v>8183</v>
      </c>
      <c r="G3367">
        <v>2</v>
      </c>
      <c r="H3367" t="s">
        <v>78</v>
      </c>
      <c r="I3367" t="s">
        <v>108</v>
      </c>
      <c r="J3367" t="s">
        <v>80</v>
      </c>
      <c r="K3367" t="s">
        <v>20</v>
      </c>
      <c r="L3367" t="s">
        <v>8184</v>
      </c>
      <c r="M3367" s="3" t="str">
        <f>HYPERLINK("..\..\Imagery\ScannedPhotos\2000\CG00-198.1.jpg")</f>
        <v>..\..\Imagery\ScannedPhotos\2000\CG00-198.1.jpg</v>
      </c>
    </row>
    <row r="3368" spans="1:13" x14ac:dyDescent="0.25">
      <c r="A3368" t="s">
        <v>8182</v>
      </c>
      <c r="B3368">
        <v>341643</v>
      </c>
      <c r="C3368">
        <v>5779884</v>
      </c>
      <c r="D3368">
        <v>21</v>
      </c>
      <c r="E3368" t="s">
        <v>15</v>
      </c>
      <c r="F3368" t="s">
        <v>8185</v>
      </c>
      <c r="G3368">
        <v>2</v>
      </c>
      <c r="H3368" t="s">
        <v>78</v>
      </c>
      <c r="I3368" t="s">
        <v>132</v>
      </c>
      <c r="J3368" t="s">
        <v>80</v>
      </c>
      <c r="K3368" t="s">
        <v>20</v>
      </c>
      <c r="L3368" t="s">
        <v>8186</v>
      </c>
      <c r="M3368" s="3" t="str">
        <f>HYPERLINK("..\..\Imagery\ScannedPhotos\2000\CG00-198.2.jpg")</f>
        <v>..\..\Imagery\ScannedPhotos\2000\CG00-198.2.jpg</v>
      </c>
    </row>
    <row r="3369" spans="1:13" x14ac:dyDescent="0.25">
      <c r="A3369" t="s">
        <v>8187</v>
      </c>
      <c r="B3369">
        <v>437081</v>
      </c>
      <c r="C3369">
        <v>5890776</v>
      </c>
      <c r="D3369">
        <v>21</v>
      </c>
      <c r="E3369" t="s">
        <v>15</v>
      </c>
      <c r="F3369" t="s">
        <v>8188</v>
      </c>
      <c r="G3369">
        <v>1</v>
      </c>
      <c r="H3369" t="s">
        <v>3689</v>
      </c>
      <c r="I3369" t="s">
        <v>47</v>
      </c>
      <c r="J3369" t="s">
        <v>3690</v>
      </c>
      <c r="K3369" t="s">
        <v>20</v>
      </c>
      <c r="L3369" t="s">
        <v>8189</v>
      </c>
      <c r="M3369" s="3" t="str">
        <f>HYPERLINK("..\..\Imagery\ScannedPhotos\1984\NN84-511.jpg")</f>
        <v>..\..\Imagery\ScannedPhotos\1984\NN84-511.jpg</v>
      </c>
    </row>
    <row r="3370" spans="1:13" x14ac:dyDescent="0.25">
      <c r="A3370" t="s">
        <v>8190</v>
      </c>
      <c r="B3370">
        <v>467056</v>
      </c>
      <c r="C3370">
        <v>5909473</v>
      </c>
      <c r="D3370">
        <v>21</v>
      </c>
      <c r="E3370" t="s">
        <v>15</v>
      </c>
      <c r="F3370" t="s">
        <v>8191</v>
      </c>
      <c r="G3370">
        <v>2</v>
      </c>
      <c r="H3370" t="s">
        <v>3689</v>
      </c>
      <c r="I3370" t="s">
        <v>52</v>
      </c>
      <c r="J3370" t="s">
        <v>3690</v>
      </c>
      <c r="K3370" t="s">
        <v>20</v>
      </c>
      <c r="L3370" t="s">
        <v>8192</v>
      </c>
      <c r="M3370" s="3" t="str">
        <f>HYPERLINK("..\..\Imagery\ScannedPhotos\1984\NN84-540.1.jpg")</f>
        <v>..\..\Imagery\ScannedPhotos\1984\NN84-540.1.jpg</v>
      </c>
    </row>
    <row r="3371" spans="1:13" x14ac:dyDescent="0.25">
      <c r="A3371" t="s">
        <v>8190</v>
      </c>
      <c r="B3371">
        <v>467056</v>
      </c>
      <c r="C3371">
        <v>5909473</v>
      </c>
      <c r="D3371">
        <v>21</v>
      </c>
      <c r="E3371" t="s">
        <v>15</v>
      </c>
      <c r="F3371" t="s">
        <v>8193</v>
      </c>
      <c r="G3371">
        <v>2</v>
      </c>
      <c r="H3371" t="s">
        <v>3689</v>
      </c>
      <c r="I3371" t="s">
        <v>65</v>
      </c>
      <c r="J3371" t="s">
        <v>3690</v>
      </c>
      <c r="K3371" t="s">
        <v>20</v>
      </c>
      <c r="L3371" t="s">
        <v>8192</v>
      </c>
      <c r="M3371" s="3" t="str">
        <f>HYPERLINK("..\..\Imagery\ScannedPhotos\1984\NN84-540.2.jpg")</f>
        <v>..\..\Imagery\ScannedPhotos\1984\NN84-540.2.jpg</v>
      </c>
    </row>
    <row r="3372" spans="1:13" x14ac:dyDescent="0.25">
      <c r="A3372" t="s">
        <v>8194</v>
      </c>
      <c r="B3372">
        <v>342275</v>
      </c>
      <c r="C3372">
        <v>5970341</v>
      </c>
      <c r="D3372">
        <v>21</v>
      </c>
      <c r="E3372" t="s">
        <v>15</v>
      </c>
      <c r="F3372" t="s">
        <v>8195</v>
      </c>
      <c r="G3372">
        <v>3</v>
      </c>
      <c r="H3372" t="s">
        <v>1232</v>
      </c>
      <c r="I3372" t="s">
        <v>222</v>
      </c>
      <c r="J3372" t="s">
        <v>1233</v>
      </c>
      <c r="K3372" t="s">
        <v>56</v>
      </c>
      <c r="L3372" t="s">
        <v>8196</v>
      </c>
      <c r="M3372" s="3" t="str">
        <f>HYPERLINK("..\..\Imagery\ScannedPhotos\1982\PE82-149.2.jpg")</f>
        <v>..\..\Imagery\ScannedPhotos\1982\PE82-149.2.jpg</v>
      </c>
    </row>
    <row r="3373" spans="1:13" x14ac:dyDescent="0.25">
      <c r="A3373" t="s">
        <v>8197</v>
      </c>
      <c r="B3373">
        <v>411606</v>
      </c>
      <c r="C3373">
        <v>6015793</v>
      </c>
      <c r="D3373">
        <v>21</v>
      </c>
      <c r="E3373" t="s">
        <v>15</v>
      </c>
      <c r="F3373" t="s">
        <v>8198</v>
      </c>
      <c r="G3373">
        <v>3</v>
      </c>
      <c r="H3373" t="s">
        <v>93</v>
      </c>
      <c r="I3373" t="s">
        <v>281</v>
      </c>
      <c r="J3373" t="s">
        <v>95</v>
      </c>
      <c r="K3373" t="s">
        <v>109</v>
      </c>
      <c r="L3373" t="s">
        <v>8199</v>
      </c>
      <c r="M3373" s="3" t="str">
        <f>HYPERLINK("..\..\Imagery\ScannedPhotos\1980\CG80-219.1.jpg")</f>
        <v>..\..\Imagery\ScannedPhotos\1980\CG80-219.1.jpg</v>
      </c>
    </row>
    <row r="3374" spans="1:13" x14ac:dyDescent="0.25">
      <c r="A3374" t="s">
        <v>8200</v>
      </c>
      <c r="B3374">
        <v>578464</v>
      </c>
      <c r="C3374">
        <v>5882642</v>
      </c>
      <c r="D3374">
        <v>21</v>
      </c>
      <c r="E3374" t="s">
        <v>15</v>
      </c>
      <c r="F3374" t="s">
        <v>8201</v>
      </c>
      <c r="G3374">
        <v>2</v>
      </c>
      <c r="H3374" t="s">
        <v>1507</v>
      </c>
      <c r="I3374" t="s">
        <v>647</v>
      </c>
      <c r="J3374" t="s">
        <v>1508</v>
      </c>
      <c r="K3374" t="s">
        <v>20</v>
      </c>
      <c r="L3374" t="s">
        <v>8202</v>
      </c>
      <c r="M3374" s="3" t="str">
        <f>HYPERLINK("..\..\Imagery\ScannedPhotos\1985\GM85-491.1.jpg")</f>
        <v>..\..\Imagery\ScannedPhotos\1985\GM85-491.1.jpg</v>
      </c>
    </row>
    <row r="3375" spans="1:13" x14ac:dyDescent="0.25">
      <c r="A3375" t="s">
        <v>8200</v>
      </c>
      <c r="B3375">
        <v>578464</v>
      </c>
      <c r="C3375">
        <v>5882642</v>
      </c>
      <c r="D3375">
        <v>21</v>
      </c>
      <c r="E3375" t="s">
        <v>15</v>
      </c>
      <c r="F3375" t="s">
        <v>8203</v>
      </c>
      <c r="G3375">
        <v>2</v>
      </c>
      <c r="H3375" t="s">
        <v>1507</v>
      </c>
      <c r="I3375" t="s">
        <v>30</v>
      </c>
      <c r="J3375" t="s">
        <v>1508</v>
      </c>
      <c r="K3375" t="s">
        <v>20</v>
      </c>
      <c r="L3375" t="s">
        <v>8202</v>
      </c>
      <c r="M3375" s="3" t="str">
        <f>HYPERLINK("..\..\Imagery\ScannedPhotos\1985\GM85-491.2.jpg")</f>
        <v>..\..\Imagery\ScannedPhotos\1985\GM85-491.2.jpg</v>
      </c>
    </row>
    <row r="3376" spans="1:13" x14ac:dyDescent="0.25">
      <c r="A3376" t="s">
        <v>8204</v>
      </c>
      <c r="B3376">
        <v>569105</v>
      </c>
      <c r="C3376">
        <v>5883768</v>
      </c>
      <c r="D3376">
        <v>21</v>
      </c>
      <c r="E3376" t="s">
        <v>15</v>
      </c>
      <c r="F3376" t="s">
        <v>8205</v>
      </c>
      <c r="G3376">
        <v>3</v>
      </c>
      <c r="H3376" t="s">
        <v>1507</v>
      </c>
      <c r="I3376" t="s">
        <v>122</v>
      </c>
      <c r="J3376" t="s">
        <v>1508</v>
      </c>
      <c r="K3376" t="s">
        <v>20</v>
      </c>
      <c r="L3376" t="s">
        <v>8206</v>
      </c>
      <c r="M3376" s="3" t="str">
        <f>HYPERLINK("..\..\Imagery\ScannedPhotos\1985\GM85-494.3.jpg")</f>
        <v>..\..\Imagery\ScannedPhotos\1985\GM85-494.3.jpg</v>
      </c>
    </row>
    <row r="3377" spans="1:13" x14ac:dyDescent="0.25">
      <c r="A3377" t="s">
        <v>8204</v>
      </c>
      <c r="B3377">
        <v>569105</v>
      </c>
      <c r="C3377">
        <v>5883768</v>
      </c>
      <c r="D3377">
        <v>21</v>
      </c>
      <c r="E3377" t="s">
        <v>15</v>
      </c>
      <c r="F3377" t="s">
        <v>8207</v>
      </c>
      <c r="G3377">
        <v>3</v>
      </c>
      <c r="H3377" t="s">
        <v>1507</v>
      </c>
      <c r="I3377" t="s">
        <v>119</v>
      </c>
      <c r="J3377" t="s">
        <v>1508</v>
      </c>
      <c r="K3377" t="s">
        <v>20</v>
      </c>
      <c r="L3377" t="s">
        <v>8206</v>
      </c>
      <c r="M3377" s="3" t="str">
        <f>HYPERLINK("..\..\Imagery\ScannedPhotos\1985\GM85-494.2.jpg")</f>
        <v>..\..\Imagery\ScannedPhotos\1985\GM85-494.2.jpg</v>
      </c>
    </row>
    <row r="3378" spans="1:13" x14ac:dyDescent="0.25">
      <c r="A3378" t="s">
        <v>8204</v>
      </c>
      <c r="B3378">
        <v>569105</v>
      </c>
      <c r="C3378">
        <v>5883768</v>
      </c>
      <c r="D3378">
        <v>21</v>
      </c>
      <c r="E3378" t="s">
        <v>15</v>
      </c>
      <c r="F3378" t="s">
        <v>8208</v>
      </c>
      <c r="G3378">
        <v>3</v>
      </c>
      <c r="H3378" t="s">
        <v>1507</v>
      </c>
      <c r="I3378" t="s">
        <v>114</v>
      </c>
      <c r="J3378" t="s">
        <v>1508</v>
      </c>
      <c r="K3378" t="s">
        <v>20</v>
      </c>
      <c r="L3378" t="s">
        <v>8206</v>
      </c>
      <c r="M3378" s="3" t="str">
        <f>HYPERLINK("..\..\Imagery\ScannedPhotos\1985\GM85-494.1.jpg")</f>
        <v>..\..\Imagery\ScannedPhotos\1985\GM85-494.1.jpg</v>
      </c>
    </row>
    <row r="3379" spans="1:13" x14ac:dyDescent="0.25">
      <c r="A3379" t="s">
        <v>6958</v>
      </c>
      <c r="B3379">
        <v>569115</v>
      </c>
      <c r="C3379">
        <v>5884125</v>
      </c>
      <c r="D3379">
        <v>21</v>
      </c>
      <c r="E3379" t="s">
        <v>15</v>
      </c>
      <c r="F3379" t="s">
        <v>8209</v>
      </c>
      <c r="G3379">
        <v>3</v>
      </c>
      <c r="H3379" t="s">
        <v>1507</v>
      </c>
      <c r="I3379" t="s">
        <v>108</v>
      </c>
      <c r="J3379" t="s">
        <v>1508</v>
      </c>
      <c r="K3379" t="s">
        <v>20</v>
      </c>
      <c r="L3379" t="s">
        <v>6960</v>
      </c>
      <c r="M3379" s="3" t="str">
        <f>HYPERLINK("..\..\Imagery\ScannedPhotos\1985\GM85-496.2.jpg")</f>
        <v>..\..\Imagery\ScannedPhotos\1985\GM85-496.2.jpg</v>
      </c>
    </row>
    <row r="3380" spans="1:13" x14ac:dyDescent="0.25">
      <c r="A3380" t="s">
        <v>6958</v>
      </c>
      <c r="B3380">
        <v>569115</v>
      </c>
      <c r="C3380">
        <v>5884125</v>
      </c>
      <c r="D3380">
        <v>21</v>
      </c>
      <c r="E3380" t="s">
        <v>15</v>
      </c>
      <c r="F3380" t="s">
        <v>8210</v>
      </c>
      <c r="G3380">
        <v>3</v>
      </c>
      <c r="H3380" t="s">
        <v>1507</v>
      </c>
      <c r="I3380" t="s">
        <v>132</v>
      </c>
      <c r="J3380" t="s">
        <v>1508</v>
      </c>
      <c r="K3380" t="s">
        <v>20</v>
      </c>
      <c r="L3380" t="s">
        <v>6960</v>
      </c>
      <c r="M3380" s="3" t="str">
        <f>HYPERLINK("..\..\Imagery\ScannedPhotos\1985\GM85-496.3.jpg")</f>
        <v>..\..\Imagery\ScannedPhotos\1985\GM85-496.3.jpg</v>
      </c>
    </row>
    <row r="3381" spans="1:13" x14ac:dyDescent="0.25">
      <c r="A3381" t="s">
        <v>1393</v>
      </c>
      <c r="B3381">
        <v>404410</v>
      </c>
      <c r="C3381">
        <v>5836945</v>
      </c>
      <c r="D3381">
        <v>21</v>
      </c>
      <c r="E3381" t="s">
        <v>15</v>
      </c>
      <c r="F3381" t="s">
        <v>8211</v>
      </c>
      <c r="G3381">
        <v>7</v>
      </c>
      <c r="H3381" t="s">
        <v>766</v>
      </c>
      <c r="I3381" t="s">
        <v>147</v>
      </c>
      <c r="J3381" t="s">
        <v>767</v>
      </c>
      <c r="K3381" t="s">
        <v>20</v>
      </c>
      <c r="L3381" t="s">
        <v>1402</v>
      </c>
      <c r="M3381" s="3" t="str">
        <f>HYPERLINK("..\..\Imagery\ScannedPhotos\1997\CG97-161.5.jpg")</f>
        <v>..\..\Imagery\ScannedPhotos\1997\CG97-161.5.jpg</v>
      </c>
    </row>
    <row r="3382" spans="1:13" x14ac:dyDescent="0.25">
      <c r="A3382" t="s">
        <v>5585</v>
      </c>
      <c r="B3382">
        <v>473934</v>
      </c>
      <c r="C3382">
        <v>5804927</v>
      </c>
      <c r="D3382">
        <v>21</v>
      </c>
      <c r="E3382" t="s">
        <v>15</v>
      </c>
      <c r="F3382" t="s">
        <v>8212</v>
      </c>
      <c r="G3382">
        <v>2</v>
      </c>
      <c r="H3382" t="s">
        <v>5587</v>
      </c>
      <c r="I3382" t="s">
        <v>35</v>
      </c>
      <c r="J3382" t="s">
        <v>2341</v>
      </c>
      <c r="K3382" t="s">
        <v>56</v>
      </c>
      <c r="L3382" t="s">
        <v>8213</v>
      </c>
      <c r="M3382" s="3" t="str">
        <f>HYPERLINK("..\..\Imagery\ScannedPhotos\1992\VN92-101.2.jpg")</f>
        <v>..\..\Imagery\ScannedPhotos\1992\VN92-101.2.jpg</v>
      </c>
    </row>
    <row r="3383" spans="1:13" x14ac:dyDescent="0.25">
      <c r="A3383" t="s">
        <v>8214</v>
      </c>
      <c r="B3383">
        <v>510169</v>
      </c>
      <c r="C3383">
        <v>5856313</v>
      </c>
      <c r="D3383">
        <v>21</v>
      </c>
      <c r="E3383" t="s">
        <v>15</v>
      </c>
      <c r="F3383" t="s">
        <v>8215</v>
      </c>
      <c r="G3383">
        <v>1</v>
      </c>
      <c r="H3383" t="s">
        <v>1232</v>
      </c>
      <c r="I3383" t="s">
        <v>79</v>
      </c>
      <c r="J3383" t="s">
        <v>1233</v>
      </c>
      <c r="K3383" t="s">
        <v>56</v>
      </c>
      <c r="L3383" t="s">
        <v>1853</v>
      </c>
      <c r="M3383" s="3" t="str">
        <f>HYPERLINK("..\..\Imagery\ScannedPhotos\1986\CG86-180.jpg")</f>
        <v>..\..\Imagery\ScannedPhotos\1986\CG86-180.jpg</v>
      </c>
    </row>
    <row r="3384" spans="1:13" x14ac:dyDescent="0.25">
      <c r="A3384" t="s">
        <v>966</v>
      </c>
      <c r="B3384">
        <v>496686</v>
      </c>
      <c r="C3384">
        <v>5869509</v>
      </c>
      <c r="D3384">
        <v>21</v>
      </c>
      <c r="E3384" t="s">
        <v>15</v>
      </c>
      <c r="F3384" t="s">
        <v>8216</v>
      </c>
      <c r="G3384">
        <v>5</v>
      </c>
      <c r="H3384" t="s">
        <v>968</v>
      </c>
      <c r="I3384" t="s">
        <v>217</v>
      </c>
      <c r="J3384" t="s">
        <v>42</v>
      </c>
      <c r="K3384" t="s">
        <v>56</v>
      </c>
      <c r="L3384" t="s">
        <v>969</v>
      </c>
      <c r="M3384" s="3" t="str">
        <f>HYPERLINK("..\..\Imagery\ScannedPhotos\1991\VN91-005.2.jpg")</f>
        <v>..\..\Imagery\ScannedPhotos\1991\VN91-005.2.jpg</v>
      </c>
    </row>
    <row r="3385" spans="1:13" x14ac:dyDescent="0.25">
      <c r="A3385" t="s">
        <v>8217</v>
      </c>
      <c r="B3385">
        <v>466875</v>
      </c>
      <c r="C3385">
        <v>5819500</v>
      </c>
      <c r="D3385">
        <v>21</v>
      </c>
      <c r="E3385" t="s">
        <v>15</v>
      </c>
      <c r="F3385" t="s">
        <v>8218</v>
      </c>
      <c r="G3385">
        <v>2</v>
      </c>
      <c r="H3385" t="s">
        <v>968</v>
      </c>
      <c r="I3385" t="s">
        <v>304</v>
      </c>
      <c r="J3385" t="s">
        <v>42</v>
      </c>
      <c r="K3385" t="s">
        <v>56</v>
      </c>
      <c r="L3385" t="s">
        <v>4080</v>
      </c>
      <c r="M3385" s="3" t="str">
        <f>HYPERLINK("..\..\Imagery\ScannedPhotos\1991\VN91-008.1.jpg")</f>
        <v>..\..\Imagery\ScannedPhotos\1991\VN91-008.1.jpg</v>
      </c>
    </row>
    <row r="3386" spans="1:13" x14ac:dyDescent="0.25">
      <c r="A3386" t="s">
        <v>8217</v>
      </c>
      <c r="B3386">
        <v>466875</v>
      </c>
      <c r="C3386">
        <v>5819500</v>
      </c>
      <c r="D3386">
        <v>21</v>
      </c>
      <c r="E3386" t="s">
        <v>15</v>
      </c>
      <c r="F3386" t="s">
        <v>8219</v>
      </c>
      <c r="G3386">
        <v>2</v>
      </c>
      <c r="H3386" t="s">
        <v>968</v>
      </c>
      <c r="I3386" t="s">
        <v>195</v>
      </c>
      <c r="J3386" t="s">
        <v>42</v>
      </c>
      <c r="K3386" t="s">
        <v>56</v>
      </c>
      <c r="L3386" t="s">
        <v>4080</v>
      </c>
      <c r="M3386" s="3" t="str">
        <f>HYPERLINK("..\..\Imagery\ScannedPhotos\1991\VN91-008.2.jpg")</f>
        <v>..\..\Imagery\ScannedPhotos\1991\VN91-008.2.jpg</v>
      </c>
    </row>
    <row r="3387" spans="1:13" x14ac:dyDescent="0.25">
      <c r="A3387" t="s">
        <v>8220</v>
      </c>
      <c r="B3387">
        <v>479743</v>
      </c>
      <c r="C3387">
        <v>5837689</v>
      </c>
      <c r="D3387">
        <v>21</v>
      </c>
      <c r="E3387" t="s">
        <v>15</v>
      </c>
      <c r="F3387" t="s">
        <v>8221</v>
      </c>
      <c r="G3387">
        <v>1</v>
      </c>
      <c r="H3387" t="s">
        <v>968</v>
      </c>
      <c r="I3387" t="s">
        <v>25</v>
      </c>
      <c r="J3387" t="s">
        <v>42</v>
      </c>
      <c r="K3387" t="s">
        <v>56</v>
      </c>
      <c r="L3387" t="s">
        <v>8222</v>
      </c>
      <c r="M3387" s="3" t="str">
        <f>HYPERLINK("..\..\Imagery\ScannedPhotos\1991\VN91-012.jpg")</f>
        <v>..\..\Imagery\ScannedPhotos\1991\VN91-012.jpg</v>
      </c>
    </row>
    <row r="3388" spans="1:13" x14ac:dyDescent="0.25">
      <c r="A3388" t="s">
        <v>8223</v>
      </c>
      <c r="B3388">
        <v>481357</v>
      </c>
      <c r="C3388">
        <v>5841237</v>
      </c>
      <c r="D3388">
        <v>21</v>
      </c>
      <c r="E3388" t="s">
        <v>15</v>
      </c>
      <c r="F3388" t="s">
        <v>8224</v>
      </c>
      <c r="G3388">
        <v>2</v>
      </c>
      <c r="H3388" t="s">
        <v>968</v>
      </c>
      <c r="I3388" t="s">
        <v>647</v>
      </c>
      <c r="J3388" t="s">
        <v>42</v>
      </c>
      <c r="K3388" t="s">
        <v>56</v>
      </c>
      <c r="L3388" t="s">
        <v>8225</v>
      </c>
      <c r="M3388" s="3" t="str">
        <f>HYPERLINK("..\..\Imagery\ScannedPhotos\1991\VN91-013.1.jpg")</f>
        <v>..\..\Imagery\ScannedPhotos\1991\VN91-013.1.jpg</v>
      </c>
    </row>
    <row r="3389" spans="1:13" x14ac:dyDescent="0.25">
      <c r="A3389" t="s">
        <v>8223</v>
      </c>
      <c r="B3389">
        <v>481357</v>
      </c>
      <c r="C3389">
        <v>5841237</v>
      </c>
      <c r="D3389">
        <v>21</v>
      </c>
      <c r="E3389" t="s">
        <v>15</v>
      </c>
      <c r="F3389" t="s">
        <v>8226</v>
      </c>
      <c r="G3389">
        <v>2</v>
      </c>
      <c r="H3389" t="s">
        <v>968</v>
      </c>
      <c r="I3389" t="s">
        <v>30</v>
      </c>
      <c r="J3389" t="s">
        <v>42</v>
      </c>
      <c r="K3389" t="s">
        <v>20</v>
      </c>
      <c r="L3389" t="s">
        <v>8227</v>
      </c>
      <c r="M3389" s="3" t="str">
        <f>HYPERLINK("..\..\Imagery\ScannedPhotos\1991\VN91-013.2.jpg")</f>
        <v>..\..\Imagery\ScannedPhotos\1991\VN91-013.2.jpg</v>
      </c>
    </row>
    <row r="3390" spans="1:13" x14ac:dyDescent="0.25">
      <c r="A3390" t="s">
        <v>8228</v>
      </c>
      <c r="B3390">
        <v>486950</v>
      </c>
      <c r="C3390">
        <v>5843750</v>
      </c>
      <c r="D3390">
        <v>21</v>
      </c>
      <c r="E3390" t="s">
        <v>15</v>
      </c>
      <c r="F3390" t="s">
        <v>8229</v>
      </c>
      <c r="G3390">
        <v>2</v>
      </c>
      <c r="H3390" t="s">
        <v>968</v>
      </c>
      <c r="I3390" t="s">
        <v>114</v>
      </c>
      <c r="J3390" t="s">
        <v>42</v>
      </c>
      <c r="K3390" t="s">
        <v>20</v>
      </c>
      <c r="L3390" t="s">
        <v>8230</v>
      </c>
      <c r="M3390" s="3" t="str">
        <f>HYPERLINK("..\..\Imagery\ScannedPhotos\1991\VN91-014.1.jpg")</f>
        <v>..\..\Imagery\ScannedPhotos\1991\VN91-014.1.jpg</v>
      </c>
    </row>
    <row r="3391" spans="1:13" x14ac:dyDescent="0.25">
      <c r="A3391" t="s">
        <v>3153</v>
      </c>
      <c r="B3391">
        <v>448012</v>
      </c>
      <c r="C3391">
        <v>6023689</v>
      </c>
      <c r="D3391">
        <v>21</v>
      </c>
      <c r="E3391" t="s">
        <v>15</v>
      </c>
      <c r="F3391" t="s">
        <v>8231</v>
      </c>
      <c r="G3391">
        <v>4</v>
      </c>
      <c r="H3391" t="s">
        <v>1862</v>
      </c>
      <c r="I3391" t="s">
        <v>30</v>
      </c>
      <c r="J3391" t="s">
        <v>1863</v>
      </c>
      <c r="K3391" t="s">
        <v>20</v>
      </c>
      <c r="L3391" t="s">
        <v>8232</v>
      </c>
      <c r="M3391" s="3" t="str">
        <f>HYPERLINK("..\..\Imagery\ScannedPhotos\1979\CG79-797.2.jpg")</f>
        <v>..\..\Imagery\ScannedPhotos\1979\CG79-797.2.jpg</v>
      </c>
    </row>
    <row r="3392" spans="1:13" x14ac:dyDescent="0.25">
      <c r="A3392" t="s">
        <v>3153</v>
      </c>
      <c r="B3392">
        <v>448012</v>
      </c>
      <c r="C3392">
        <v>6023689</v>
      </c>
      <c r="D3392">
        <v>21</v>
      </c>
      <c r="E3392" t="s">
        <v>15</v>
      </c>
      <c r="F3392" t="s">
        <v>8233</v>
      </c>
      <c r="G3392">
        <v>4</v>
      </c>
      <c r="H3392" t="s">
        <v>1862</v>
      </c>
      <c r="I3392" t="s">
        <v>114</v>
      </c>
      <c r="J3392" t="s">
        <v>1863</v>
      </c>
      <c r="K3392" t="s">
        <v>20</v>
      </c>
      <c r="L3392" t="s">
        <v>8234</v>
      </c>
      <c r="M3392" s="3" t="str">
        <f>HYPERLINK("..\..\Imagery\ScannedPhotos\1979\CG79-797.3.jpg")</f>
        <v>..\..\Imagery\ScannedPhotos\1979\CG79-797.3.jpg</v>
      </c>
    </row>
    <row r="3393" spans="1:13" x14ac:dyDescent="0.25">
      <c r="A3393" t="s">
        <v>8235</v>
      </c>
      <c r="B3393">
        <v>554190</v>
      </c>
      <c r="C3393">
        <v>5752221</v>
      </c>
      <c r="D3393">
        <v>21</v>
      </c>
      <c r="E3393" t="s">
        <v>15</v>
      </c>
      <c r="F3393" t="s">
        <v>8236</v>
      </c>
      <c r="G3393">
        <v>1</v>
      </c>
      <c r="H3393" t="s">
        <v>2816</v>
      </c>
      <c r="I3393" t="s">
        <v>375</v>
      </c>
      <c r="J3393" t="s">
        <v>1514</v>
      </c>
      <c r="K3393" t="s">
        <v>20</v>
      </c>
      <c r="L3393" t="s">
        <v>2843</v>
      </c>
      <c r="M3393" s="3" t="str">
        <f>HYPERLINK("..\..\Imagery\ScannedPhotos\1993\DL93-287.jpg")</f>
        <v>..\..\Imagery\ScannedPhotos\1993\DL93-287.jpg</v>
      </c>
    </row>
    <row r="3394" spans="1:13" x14ac:dyDescent="0.25">
      <c r="A3394" t="s">
        <v>8237</v>
      </c>
      <c r="B3394">
        <v>507411</v>
      </c>
      <c r="C3394">
        <v>5845991</v>
      </c>
      <c r="D3394">
        <v>21</v>
      </c>
      <c r="E3394" t="s">
        <v>15</v>
      </c>
      <c r="F3394" t="s">
        <v>8238</v>
      </c>
      <c r="G3394">
        <v>1</v>
      </c>
      <c r="H3394" t="s">
        <v>3303</v>
      </c>
      <c r="I3394" t="s">
        <v>137</v>
      </c>
      <c r="J3394" t="s">
        <v>300</v>
      </c>
      <c r="K3394" t="s">
        <v>20</v>
      </c>
      <c r="L3394" t="s">
        <v>8239</v>
      </c>
      <c r="M3394" s="3" t="str">
        <f>HYPERLINK("..\..\Imagery\ScannedPhotos\1986\JS86-184.jpg")</f>
        <v>..\..\Imagery\ScannedPhotos\1986\JS86-184.jpg</v>
      </c>
    </row>
    <row r="3395" spans="1:13" x14ac:dyDescent="0.25">
      <c r="A3395" t="s">
        <v>8240</v>
      </c>
      <c r="B3395">
        <v>572774</v>
      </c>
      <c r="C3395">
        <v>5829266</v>
      </c>
      <c r="D3395">
        <v>21</v>
      </c>
      <c r="E3395" t="s">
        <v>15</v>
      </c>
      <c r="F3395" t="s">
        <v>8241</v>
      </c>
      <c r="G3395">
        <v>1</v>
      </c>
      <c r="H3395" t="s">
        <v>1212</v>
      </c>
      <c r="I3395" t="s">
        <v>47</v>
      </c>
      <c r="J3395" t="s">
        <v>100</v>
      </c>
      <c r="K3395" t="s">
        <v>20</v>
      </c>
      <c r="L3395" t="s">
        <v>8242</v>
      </c>
      <c r="M3395" s="3" t="str">
        <f>HYPERLINK("..\..\Imagery\ScannedPhotos\1986\JS86-198.jpg")</f>
        <v>..\..\Imagery\ScannedPhotos\1986\JS86-198.jpg</v>
      </c>
    </row>
    <row r="3396" spans="1:13" x14ac:dyDescent="0.25">
      <c r="A3396" t="s">
        <v>4868</v>
      </c>
      <c r="B3396">
        <v>582425</v>
      </c>
      <c r="C3396">
        <v>5887319</v>
      </c>
      <c r="D3396">
        <v>21</v>
      </c>
      <c r="E3396" t="s">
        <v>15</v>
      </c>
      <c r="F3396" t="s">
        <v>8243</v>
      </c>
      <c r="G3396">
        <v>8</v>
      </c>
      <c r="H3396" t="s">
        <v>4870</v>
      </c>
      <c r="I3396" t="s">
        <v>217</v>
      </c>
      <c r="J3396" t="s">
        <v>138</v>
      </c>
      <c r="K3396" t="s">
        <v>20</v>
      </c>
      <c r="L3396" t="s">
        <v>1584</v>
      </c>
      <c r="M3396" s="3" t="str">
        <f>HYPERLINK("..\..\Imagery\ScannedPhotos\1985\GM85-516.5.jpg")</f>
        <v>..\..\Imagery\ScannedPhotos\1985\GM85-516.5.jpg</v>
      </c>
    </row>
    <row r="3397" spans="1:13" x14ac:dyDescent="0.25">
      <c r="A3397" t="s">
        <v>4868</v>
      </c>
      <c r="B3397">
        <v>582425</v>
      </c>
      <c r="C3397">
        <v>5887319</v>
      </c>
      <c r="D3397">
        <v>21</v>
      </c>
      <c r="E3397" t="s">
        <v>15</v>
      </c>
      <c r="F3397" t="s">
        <v>8244</v>
      </c>
      <c r="G3397">
        <v>8</v>
      </c>
      <c r="H3397" t="s">
        <v>4870</v>
      </c>
      <c r="I3397" t="s">
        <v>375</v>
      </c>
      <c r="J3397" t="s">
        <v>138</v>
      </c>
      <c r="K3397" t="s">
        <v>20</v>
      </c>
      <c r="L3397" t="s">
        <v>1584</v>
      </c>
      <c r="M3397" s="3" t="str">
        <f>HYPERLINK("..\..\Imagery\ScannedPhotos\1985\GM85-516.1.jpg")</f>
        <v>..\..\Imagery\ScannedPhotos\1985\GM85-516.1.jpg</v>
      </c>
    </row>
    <row r="3398" spans="1:13" x14ac:dyDescent="0.25">
      <c r="A3398" t="s">
        <v>4868</v>
      </c>
      <c r="B3398">
        <v>582425</v>
      </c>
      <c r="C3398">
        <v>5887319</v>
      </c>
      <c r="D3398">
        <v>21</v>
      </c>
      <c r="E3398" t="s">
        <v>15</v>
      </c>
      <c r="F3398" t="s">
        <v>8245</v>
      </c>
      <c r="G3398">
        <v>8</v>
      </c>
      <c r="H3398" t="s">
        <v>4870</v>
      </c>
      <c r="I3398" t="s">
        <v>418</v>
      </c>
      <c r="J3398" t="s">
        <v>138</v>
      </c>
      <c r="K3398" t="s">
        <v>20</v>
      </c>
      <c r="L3398" t="s">
        <v>4872</v>
      </c>
      <c r="M3398" s="3" t="str">
        <f>HYPERLINK("..\..\Imagery\ScannedPhotos\1985\GM85-516.8.jpg")</f>
        <v>..\..\Imagery\ScannedPhotos\1985\GM85-516.8.jpg</v>
      </c>
    </row>
    <row r="3399" spans="1:13" x14ac:dyDescent="0.25">
      <c r="A3399" t="s">
        <v>4868</v>
      </c>
      <c r="B3399">
        <v>582425</v>
      </c>
      <c r="C3399">
        <v>5887319</v>
      </c>
      <c r="D3399">
        <v>21</v>
      </c>
      <c r="E3399" t="s">
        <v>15</v>
      </c>
      <c r="F3399" t="s">
        <v>8246</v>
      </c>
      <c r="G3399">
        <v>8</v>
      </c>
      <c r="H3399" t="s">
        <v>4870</v>
      </c>
      <c r="I3399" t="s">
        <v>94</v>
      </c>
      <c r="J3399" t="s">
        <v>138</v>
      </c>
      <c r="K3399" t="s">
        <v>20</v>
      </c>
      <c r="L3399" t="s">
        <v>1584</v>
      </c>
      <c r="M3399" s="3" t="str">
        <f>HYPERLINK("..\..\Imagery\ScannedPhotos\1985\GM85-516.2.jpg")</f>
        <v>..\..\Imagery\ScannedPhotos\1985\GM85-516.2.jpg</v>
      </c>
    </row>
    <row r="3400" spans="1:13" x14ac:dyDescent="0.25">
      <c r="A3400" t="s">
        <v>4868</v>
      </c>
      <c r="B3400">
        <v>582425</v>
      </c>
      <c r="C3400">
        <v>5887319</v>
      </c>
      <c r="D3400">
        <v>21</v>
      </c>
      <c r="E3400" t="s">
        <v>15</v>
      </c>
      <c r="F3400" t="s">
        <v>8247</v>
      </c>
      <c r="G3400">
        <v>8</v>
      </c>
      <c r="H3400" t="s">
        <v>4870</v>
      </c>
      <c r="I3400" t="s">
        <v>209</v>
      </c>
      <c r="J3400" t="s">
        <v>138</v>
      </c>
      <c r="K3400" t="s">
        <v>20</v>
      </c>
      <c r="L3400" t="s">
        <v>4872</v>
      </c>
      <c r="M3400" s="3" t="str">
        <f>HYPERLINK("..\..\Imagery\ScannedPhotos\1985\GM85-516.3.jpg")</f>
        <v>..\..\Imagery\ScannedPhotos\1985\GM85-516.3.jpg</v>
      </c>
    </row>
    <row r="3401" spans="1:13" x14ac:dyDescent="0.25">
      <c r="A3401" t="s">
        <v>2279</v>
      </c>
      <c r="B3401">
        <v>476850</v>
      </c>
      <c r="C3401">
        <v>5787150</v>
      </c>
      <c r="D3401">
        <v>21</v>
      </c>
      <c r="E3401" t="s">
        <v>15</v>
      </c>
      <c r="F3401" t="s">
        <v>8248</v>
      </c>
      <c r="G3401">
        <v>3</v>
      </c>
      <c r="H3401" t="s">
        <v>1163</v>
      </c>
      <c r="I3401" t="s">
        <v>222</v>
      </c>
      <c r="J3401" t="s">
        <v>814</v>
      </c>
      <c r="K3401" t="s">
        <v>56</v>
      </c>
      <c r="L3401" t="s">
        <v>2392</v>
      </c>
      <c r="M3401" s="3" t="str">
        <f>HYPERLINK("..\..\Imagery\ScannedPhotos\1992\VN92-138.3.jpg")</f>
        <v>..\..\Imagery\ScannedPhotos\1992\VN92-138.3.jpg</v>
      </c>
    </row>
    <row r="3402" spans="1:13" x14ac:dyDescent="0.25">
      <c r="A3402" t="s">
        <v>2279</v>
      </c>
      <c r="B3402">
        <v>476850</v>
      </c>
      <c r="C3402">
        <v>5787150</v>
      </c>
      <c r="D3402">
        <v>21</v>
      </c>
      <c r="E3402" t="s">
        <v>15</v>
      </c>
      <c r="F3402" t="s">
        <v>8249</v>
      </c>
      <c r="G3402">
        <v>3</v>
      </c>
      <c r="H3402" t="s">
        <v>1163</v>
      </c>
      <c r="I3402" t="s">
        <v>217</v>
      </c>
      <c r="J3402" t="s">
        <v>814</v>
      </c>
      <c r="K3402" t="s">
        <v>20</v>
      </c>
      <c r="L3402" t="s">
        <v>2281</v>
      </c>
      <c r="M3402" s="3" t="str">
        <f>HYPERLINK("..\..\Imagery\ScannedPhotos\1992\VN92-138.1.jpg")</f>
        <v>..\..\Imagery\ScannedPhotos\1992\VN92-138.1.jpg</v>
      </c>
    </row>
    <row r="3403" spans="1:13" x14ac:dyDescent="0.25">
      <c r="A3403" t="s">
        <v>7429</v>
      </c>
      <c r="B3403">
        <v>451170</v>
      </c>
      <c r="C3403">
        <v>5773107</v>
      </c>
      <c r="D3403">
        <v>21</v>
      </c>
      <c r="E3403" t="s">
        <v>15</v>
      </c>
      <c r="F3403" t="s">
        <v>8250</v>
      </c>
      <c r="G3403">
        <v>3</v>
      </c>
      <c r="H3403" t="s">
        <v>4076</v>
      </c>
      <c r="I3403" t="s">
        <v>18</v>
      </c>
      <c r="J3403" t="s">
        <v>905</v>
      </c>
      <c r="K3403" t="s">
        <v>20</v>
      </c>
      <c r="L3403" t="s">
        <v>7902</v>
      </c>
      <c r="M3403" s="3" t="str">
        <f>HYPERLINK("..\..\Imagery\ScannedPhotos\1992\VN92-160.3.jpg")</f>
        <v>..\..\Imagery\ScannedPhotos\1992\VN92-160.3.jpg</v>
      </c>
    </row>
    <row r="3404" spans="1:13" x14ac:dyDescent="0.25">
      <c r="A3404" t="s">
        <v>4346</v>
      </c>
      <c r="B3404">
        <v>581923</v>
      </c>
      <c r="C3404">
        <v>5764212</v>
      </c>
      <c r="D3404">
        <v>21</v>
      </c>
      <c r="E3404" t="s">
        <v>15</v>
      </c>
      <c r="F3404" t="s">
        <v>8251</v>
      </c>
      <c r="G3404">
        <v>2</v>
      </c>
      <c r="H3404" t="s">
        <v>2480</v>
      </c>
      <c r="I3404" t="s">
        <v>119</v>
      </c>
      <c r="J3404" t="s">
        <v>1619</v>
      </c>
      <c r="K3404" t="s">
        <v>56</v>
      </c>
      <c r="L3404" t="s">
        <v>8252</v>
      </c>
      <c r="M3404" s="3" t="str">
        <f>HYPERLINK("..\..\Imagery\ScannedPhotos\1987\JS87-392.1.jpg")</f>
        <v>..\..\Imagery\ScannedPhotos\1987\JS87-392.1.jpg</v>
      </c>
    </row>
    <row r="3405" spans="1:13" x14ac:dyDescent="0.25">
      <c r="A3405" t="s">
        <v>8253</v>
      </c>
      <c r="B3405">
        <v>551955</v>
      </c>
      <c r="C3405">
        <v>5865984</v>
      </c>
      <c r="D3405">
        <v>21</v>
      </c>
      <c r="E3405" t="s">
        <v>15</v>
      </c>
      <c r="F3405" t="s">
        <v>8254</v>
      </c>
      <c r="G3405">
        <v>1</v>
      </c>
      <c r="H3405" t="s">
        <v>2018</v>
      </c>
      <c r="I3405" t="s">
        <v>47</v>
      </c>
      <c r="J3405" t="s">
        <v>2019</v>
      </c>
      <c r="K3405" t="s">
        <v>20</v>
      </c>
      <c r="L3405" t="s">
        <v>3630</v>
      </c>
      <c r="M3405" s="3" t="str">
        <f>HYPERLINK("..\..\Imagery\ScannedPhotos\1986\SN86-108.jpg")</f>
        <v>..\..\Imagery\ScannedPhotos\1986\SN86-108.jpg</v>
      </c>
    </row>
    <row r="3406" spans="1:13" x14ac:dyDescent="0.25">
      <c r="A3406" t="s">
        <v>8255</v>
      </c>
      <c r="B3406">
        <v>552424</v>
      </c>
      <c r="C3406">
        <v>5866209</v>
      </c>
      <c r="D3406">
        <v>21</v>
      </c>
      <c r="E3406" t="s">
        <v>15</v>
      </c>
      <c r="F3406" t="s">
        <v>8256</v>
      </c>
      <c r="G3406">
        <v>1</v>
      </c>
      <c r="H3406" t="s">
        <v>2018</v>
      </c>
      <c r="I3406" t="s">
        <v>52</v>
      </c>
      <c r="J3406" t="s">
        <v>2019</v>
      </c>
      <c r="K3406" t="s">
        <v>20</v>
      </c>
      <c r="L3406" t="s">
        <v>3630</v>
      </c>
      <c r="M3406" s="3" t="str">
        <f>HYPERLINK("..\..\Imagery\ScannedPhotos\1986\SN86-109.jpg")</f>
        <v>..\..\Imagery\ScannedPhotos\1986\SN86-109.jpg</v>
      </c>
    </row>
    <row r="3407" spans="1:13" x14ac:dyDescent="0.25">
      <c r="A3407" t="s">
        <v>8257</v>
      </c>
      <c r="B3407">
        <v>566220</v>
      </c>
      <c r="C3407">
        <v>5853306</v>
      </c>
      <c r="D3407">
        <v>21</v>
      </c>
      <c r="E3407" t="s">
        <v>15</v>
      </c>
      <c r="F3407" t="s">
        <v>8258</v>
      </c>
      <c r="G3407">
        <v>1</v>
      </c>
      <c r="H3407" t="s">
        <v>68</v>
      </c>
      <c r="I3407" t="s">
        <v>79</v>
      </c>
      <c r="J3407" t="s">
        <v>70</v>
      </c>
      <c r="K3407" t="s">
        <v>20</v>
      </c>
      <c r="L3407" t="s">
        <v>3630</v>
      </c>
      <c r="M3407" s="3" t="str">
        <f>HYPERLINK("..\..\Imagery\ScannedPhotos\1986\SN86-132.jpg")</f>
        <v>..\..\Imagery\ScannedPhotos\1986\SN86-132.jpg</v>
      </c>
    </row>
    <row r="3408" spans="1:13" x14ac:dyDescent="0.25">
      <c r="A3408" t="s">
        <v>8259</v>
      </c>
      <c r="B3408">
        <v>567613</v>
      </c>
      <c r="C3408">
        <v>5851466</v>
      </c>
      <c r="D3408">
        <v>21</v>
      </c>
      <c r="E3408" t="s">
        <v>15</v>
      </c>
      <c r="F3408" t="s">
        <v>8260</v>
      </c>
      <c r="G3408">
        <v>1</v>
      </c>
      <c r="H3408" t="s">
        <v>99</v>
      </c>
      <c r="I3408" t="s">
        <v>360</v>
      </c>
      <c r="J3408" t="s">
        <v>100</v>
      </c>
      <c r="K3408" t="s">
        <v>20</v>
      </c>
      <c r="L3408" t="s">
        <v>5168</v>
      </c>
      <c r="M3408" s="3" t="str">
        <f>HYPERLINK("..\..\Imagery\ScannedPhotos\1986\MN86-386.jpg")</f>
        <v>..\..\Imagery\ScannedPhotos\1986\MN86-386.jpg</v>
      </c>
    </row>
    <row r="3409" spans="1:14" x14ac:dyDescent="0.25">
      <c r="A3409" t="s">
        <v>8261</v>
      </c>
      <c r="B3409">
        <v>578694</v>
      </c>
      <c r="C3409">
        <v>5817578</v>
      </c>
      <c r="D3409">
        <v>21</v>
      </c>
      <c r="E3409" t="s">
        <v>15</v>
      </c>
      <c r="F3409" t="s">
        <v>8262</v>
      </c>
      <c r="G3409">
        <v>1</v>
      </c>
      <c r="H3409" t="s">
        <v>288</v>
      </c>
      <c r="I3409" t="s">
        <v>47</v>
      </c>
      <c r="J3409" t="s">
        <v>289</v>
      </c>
      <c r="K3409" t="s">
        <v>20</v>
      </c>
      <c r="L3409" t="s">
        <v>8263</v>
      </c>
      <c r="M3409" s="3" t="str">
        <f>HYPERLINK("..\..\Imagery\ScannedPhotos\1986\CG86-707.jpg")</f>
        <v>..\..\Imagery\ScannedPhotos\1986\CG86-707.jpg</v>
      </c>
    </row>
    <row r="3410" spans="1:14" x14ac:dyDescent="0.25">
      <c r="A3410" t="s">
        <v>8264</v>
      </c>
      <c r="B3410">
        <v>527913</v>
      </c>
      <c r="C3410">
        <v>5880687</v>
      </c>
      <c r="D3410">
        <v>21</v>
      </c>
      <c r="E3410" t="s">
        <v>15</v>
      </c>
      <c r="F3410" t="s">
        <v>8265</v>
      </c>
      <c r="G3410">
        <v>3</v>
      </c>
      <c r="H3410" t="s">
        <v>8266</v>
      </c>
      <c r="I3410" t="s">
        <v>281</v>
      </c>
      <c r="J3410" t="s">
        <v>1583</v>
      </c>
      <c r="K3410" t="s">
        <v>20</v>
      </c>
      <c r="L3410" t="s">
        <v>8267</v>
      </c>
      <c r="M3410" s="3" t="str">
        <f>HYPERLINK("..\..\Imagery\ScannedPhotos\1985\LC85-002.3.jpg")</f>
        <v>..\..\Imagery\ScannedPhotos\1985\LC85-002.3.jpg</v>
      </c>
    </row>
    <row r="3411" spans="1:14" x14ac:dyDescent="0.25">
      <c r="A3411" t="s">
        <v>4436</v>
      </c>
      <c r="B3411">
        <v>579286</v>
      </c>
      <c r="C3411">
        <v>5926480</v>
      </c>
      <c r="D3411">
        <v>21</v>
      </c>
      <c r="E3411" t="s">
        <v>15</v>
      </c>
      <c r="F3411" t="s">
        <v>8268</v>
      </c>
      <c r="G3411">
        <v>3</v>
      </c>
      <c r="H3411" t="s">
        <v>1378</v>
      </c>
      <c r="I3411" t="s">
        <v>18</v>
      </c>
      <c r="J3411" t="s">
        <v>628</v>
      </c>
      <c r="K3411" t="s">
        <v>20</v>
      </c>
      <c r="L3411" t="s">
        <v>4438</v>
      </c>
      <c r="M3411" s="3" t="str">
        <f>HYPERLINK("..\..\Imagery\ScannedPhotos\1985\CG85-617.2.jpg")</f>
        <v>..\..\Imagery\ScannedPhotos\1985\CG85-617.2.jpg</v>
      </c>
    </row>
    <row r="3412" spans="1:14" x14ac:dyDescent="0.25">
      <c r="A3412" t="s">
        <v>919</v>
      </c>
      <c r="B3412">
        <v>443989</v>
      </c>
      <c r="C3412">
        <v>5763744</v>
      </c>
      <c r="D3412">
        <v>21</v>
      </c>
      <c r="E3412" t="s">
        <v>15</v>
      </c>
      <c r="F3412" t="s">
        <v>8269</v>
      </c>
      <c r="G3412">
        <v>9</v>
      </c>
      <c r="H3412" t="s">
        <v>1107</v>
      </c>
      <c r="I3412" t="s">
        <v>65</v>
      </c>
      <c r="J3412" t="s">
        <v>747</v>
      </c>
      <c r="K3412" t="s">
        <v>56</v>
      </c>
      <c r="L3412" t="s">
        <v>2488</v>
      </c>
      <c r="M3412" s="3" t="str">
        <f>HYPERLINK("..\..\Imagery\ScannedPhotos\1992\CG92-163.3E.jpg")</f>
        <v>..\..\Imagery\ScannedPhotos\1992\CG92-163.3E.jpg</v>
      </c>
      <c r="N3412" t="s">
        <v>1808</v>
      </c>
    </row>
    <row r="3413" spans="1:14" x14ac:dyDescent="0.25">
      <c r="A3413" t="s">
        <v>919</v>
      </c>
      <c r="B3413">
        <v>443989</v>
      </c>
      <c r="C3413">
        <v>5763744</v>
      </c>
      <c r="D3413">
        <v>21</v>
      </c>
      <c r="E3413" t="s">
        <v>15</v>
      </c>
      <c r="F3413" t="s">
        <v>8270</v>
      </c>
      <c r="G3413">
        <v>9</v>
      </c>
      <c r="H3413" t="s">
        <v>1107</v>
      </c>
      <c r="I3413" t="s">
        <v>47</v>
      </c>
      <c r="J3413" t="s">
        <v>747</v>
      </c>
      <c r="K3413" t="s">
        <v>56</v>
      </c>
      <c r="L3413" t="s">
        <v>2488</v>
      </c>
      <c r="M3413" s="3" t="str">
        <f>HYPERLINK("..\..\Imagery\ScannedPhotos\1992\CG92-163.1.jpg")</f>
        <v>..\..\Imagery\ScannedPhotos\1992\CG92-163.1.jpg</v>
      </c>
    </row>
    <row r="3414" spans="1:14" x14ac:dyDescent="0.25">
      <c r="A3414" t="s">
        <v>919</v>
      </c>
      <c r="B3414">
        <v>443989</v>
      </c>
      <c r="C3414">
        <v>5763744</v>
      </c>
      <c r="D3414">
        <v>21</v>
      </c>
      <c r="E3414" t="s">
        <v>15</v>
      </c>
      <c r="F3414" t="s">
        <v>8271</v>
      </c>
      <c r="G3414">
        <v>9</v>
      </c>
      <c r="H3414" t="s">
        <v>1107</v>
      </c>
      <c r="I3414" t="s">
        <v>52</v>
      </c>
      <c r="J3414" t="s">
        <v>747</v>
      </c>
      <c r="K3414" t="s">
        <v>56</v>
      </c>
      <c r="L3414" t="s">
        <v>2488</v>
      </c>
      <c r="M3414" s="3" t="str">
        <f>HYPERLINK("..\..\Imagery\ScannedPhotos\1992\CG92-163.2.jpg")</f>
        <v>..\..\Imagery\ScannedPhotos\1992\CG92-163.2.jpg</v>
      </c>
    </row>
    <row r="3415" spans="1:14" x14ac:dyDescent="0.25">
      <c r="A3415" t="s">
        <v>8272</v>
      </c>
      <c r="B3415">
        <v>444033</v>
      </c>
      <c r="C3415">
        <v>5763428</v>
      </c>
      <c r="D3415">
        <v>21</v>
      </c>
      <c r="E3415" t="s">
        <v>15</v>
      </c>
      <c r="F3415" t="s">
        <v>8273</v>
      </c>
      <c r="G3415">
        <v>3</v>
      </c>
      <c r="H3415" t="s">
        <v>746</v>
      </c>
      <c r="I3415" t="s">
        <v>69</v>
      </c>
      <c r="J3415" t="s">
        <v>747</v>
      </c>
      <c r="K3415" t="s">
        <v>56</v>
      </c>
      <c r="L3415" t="s">
        <v>8274</v>
      </c>
      <c r="M3415" s="3" t="str">
        <f>HYPERLINK("..\..\Imagery\ScannedPhotos\1992\CG92-164.1.jpg")</f>
        <v>..\..\Imagery\ScannedPhotos\1992\CG92-164.1.jpg</v>
      </c>
    </row>
    <row r="3416" spans="1:14" x14ac:dyDescent="0.25">
      <c r="A3416" t="s">
        <v>8272</v>
      </c>
      <c r="B3416">
        <v>444033</v>
      </c>
      <c r="C3416">
        <v>5763428</v>
      </c>
      <c r="D3416">
        <v>21</v>
      </c>
      <c r="E3416" t="s">
        <v>15</v>
      </c>
      <c r="F3416" t="s">
        <v>8275</v>
      </c>
      <c r="G3416">
        <v>3</v>
      </c>
      <c r="H3416" t="s">
        <v>746</v>
      </c>
      <c r="I3416" t="s">
        <v>41</v>
      </c>
      <c r="J3416" t="s">
        <v>747</v>
      </c>
      <c r="K3416" t="s">
        <v>56</v>
      </c>
      <c r="L3416" t="s">
        <v>8274</v>
      </c>
      <c r="M3416" s="3" t="str">
        <f>HYPERLINK("..\..\Imagery\ScannedPhotos\1992\CG92-164.3.jpg")</f>
        <v>..\..\Imagery\ScannedPhotos\1992\CG92-164.3.jpg</v>
      </c>
    </row>
    <row r="3417" spans="1:14" x14ac:dyDescent="0.25">
      <c r="A3417" t="s">
        <v>8276</v>
      </c>
      <c r="B3417">
        <v>399589</v>
      </c>
      <c r="C3417">
        <v>5990102</v>
      </c>
      <c r="D3417">
        <v>21</v>
      </c>
      <c r="E3417" t="s">
        <v>15</v>
      </c>
      <c r="F3417" t="s">
        <v>8277</v>
      </c>
      <c r="G3417">
        <v>1</v>
      </c>
      <c r="H3417" t="s">
        <v>1133</v>
      </c>
      <c r="I3417" t="s">
        <v>114</v>
      </c>
      <c r="J3417" t="s">
        <v>623</v>
      </c>
      <c r="K3417" t="s">
        <v>20</v>
      </c>
      <c r="L3417" t="s">
        <v>8278</v>
      </c>
      <c r="M3417" s="3" t="str">
        <f>HYPERLINK("..\..\Imagery\ScannedPhotos\1980\CG80-195.jpg")</f>
        <v>..\..\Imagery\ScannedPhotos\1980\CG80-195.jpg</v>
      </c>
    </row>
    <row r="3418" spans="1:14" x14ac:dyDescent="0.25">
      <c r="A3418" t="s">
        <v>1131</v>
      </c>
      <c r="B3418">
        <v>401288</v>
      </c>
      <c r="C3418">
        <v>5990609</v>
      </c>
      <c r="D3418">
        <v>21</v>
      </c>
      <c r="E3418" t="s">
        <v>15</v>
      </c>
      <c r="F3418" t="s">
        <v>8279</v>
      </c>
      <c r="G3418">
        <v>2</v>
      </c>
      <c r="H3418" t="s">
        <v>1133</v>
      </c>
      <c r="I3418" t="s">
        <v>119</v>
      </c>
      <c r="J3418" t="s">
        <v>623</v>
      </c>
      <c r="K3418" t="s">
        <v>20</v>
      </c>
      <c r="L3418" t="s">
        <v>8280</v>
      </c>
      <c r="M3418" s="3" t="str">
        <f>HYPERLINK("..\..\Imagery\ScannedPhotos\1980\CG80-200.1.jpg")</f>
        <v>..\..\Imagery\ScannedPhotos\1980\CG80-200.1.jpg</v>
      </c>
    </row>
    <row r="3419" spans="1:14" x14ac:dyDescent="0.25">
      <c r="A3419" t="s">
        <v>5272</v>
      </c>
      <c r="B3419">
        <v>485767</v>
      </c>
      <c r="C3419">
        <v>5841850</v>
      </c>
      <c r="D3419">
        <v>21</v>
      </c>
      <c r="E3419" t="s">
        <v>15</v>
      </c>
      <c r="F3419" t="s">
        <v>8281</v>
      </c>
      <c r="G3419">
        <v>2</v>
      </c>
      <c r="H3419" t="s">
        <v>1128</v>
      </c>
      <c r="I3419" t="s">
        <v>147</v>
      </c>
      <c r="J3419" t="s">
        <v>1129</v>
      </c>
      <c r="K3419" t="s">
        <v>20</v>
      </c>
      <c r="L3419" t="s">
        <v>2309</v>
      </c>
      <c r="M3419" s="3" t="str">
        <f>HYPERLINK("..\..\Imagery\ScannedPhotos\1991\VN91-117.2.jpg")</f>
        <v>..\..\Imagery\ScannedPhotos\1991\VN91-117.2.jpg</v>
      </c>
    </row>
    <row r="3420" spans="1:14" x14ac:dyDescent="0.25">
      <c r="A3420" t="s">
        <v>8282</v>
      </c>
      <c r="B3420">
        <v>485750</v>
      </c>
      <c r="C3420">
        <v>5841008</v>
      </c>
      <c r="D3420">
        <v>21</v>
      </c>
      <c r="E3420" t="s">
        <v>15</v>
      </c>
      <c r="F3420" t="s">
        <v>8283</v>
      </c>
      <c r="G3420">
        <v>2</v>
      </c>
      <c r="H3420" t="s">
        <v>1128</v>
      </c>
      <c r="I3420" t="s">
        <v>52</v>
      </c>
      <c r="J3420" t="s">
        <v>1129</v>
      </c>
      <c r="K3420" t="s">
        <v>20</v>
      </c>
      <c r="L3420" t="s">
        <v>8284</v>
      </c>
      <c r="M3420" s="3" t="str">
        <f>HYPERLINK("..\..\Imagery\ScannedPhotos\1991\VN91-118.2.jpg")</f>
        <v>..\..\Imagery\ScannedPhotos\1991\VN91-118.2.jpg</v>
      </c>
    </row>
    <row r="3421" spans="1:14" x14ac:dyDescent="0.25">
      <c r="A3421" t="s">
        <v>8285</v>
      </c>
      <c r="B3421">
        <v>489852</v>
      </c>
      <c r="C3421">
        <v>5829683</v>
      </c>
      <c r="D3421">
        <v>21</v>
      </c>
      <c r="E3421" t="s">
        <v>15</v>
      </c>
      <c r="F3421" t="s">
        <v>8286</v>
      </c>
      <c r="G3421">
        <v>1</v>
      </c>
      <c r="H3421" t="s">
        <v>2789</v>
      </c>
      <c r="I3421" t="s">
        <v>79</v>
      </c>
      <c r="J3421" t="s">
        <v>413</v>
      </c>
      <c r="K3421" t="s">
        <v>56</v>
      </c>
      <c r="L3421" t="s">
        <v>8287</v>
      </c>
      <c r="M3421" s="3" t="str">
        <f>HYPERLINK("..\..\Imagery\ScannedPhotos\1991\VN91-121.jpg")</f>
        <v>..\..\Imagery\ScannedPhotos\1991\VN91-121.jpg</v>
      </c>
    </row>
    <row r="3422" spans="1:14" x14ac:dyDescent="0.25">
      <c r="A3422" t="s">
        <v>8288</v>
      </c>
      <c r="B3422">
        <v>489789</v>
      </c>
      <c r="C3422">
        <v>5829534</v>
      </c>
      <c r="D3422">
        <v>21</v>
      </c>
      <c r="E3422" t="s">
        <v>15</v>
      </c>
      <c r="F3422" t="s">
        <v>8289</v>
      </c>
      <c r="G3422">
        <v>4</v>
      </c>
      <c r="H3422" t="s">
        <v>2789</v>
      </c>
      <c r="I3422" t="s">
        <v>281</v>
      </c>
      <c r="J3422" t="s">
        <v>413</v>
      </c>
      <c r="K3422" t="s">
        <v>56</v>
      </c>
      <c r="L3422" t="s">
        <v>8290</v>
      </c>
      <c r="M3422" s="3" t="str">
        <f>HYPERLINK("..\..\Imagery\ScannedPhotos\1991\VN91-122.1.jpg")</f>
        <v>..\..\Imagery\ScannedPhotos\1991\VN91-122.1.jpg</v>
      </c>
    </row>
    <row r="3423" spans="1:14" x14ac:dyDescent="0.25">
      <c r="A3423" t="s">
        <v>8288</v>
      </c>
      <c r="B3423">
        <v>489789</v>
      </c>
      <c r="C3423">
        <v>5829534</v>
      </c>
      <c r="D3423">
        <v>21</v>
      </c>
      <c r="E3423" t="s">
        <v>15</v>
      </c>
      <c r="F3423" t="s">
        <v>8291</v>
      </c>
      <c r="G3423">
        <v>4</v>
      </c>
      <c r="H3423" t="s">
        <v>2789</v>
      </c>
      <c r="I3423" t="s">
        <v>35</v>
      </c>
      <c r="J3423" t="s">
        <v>413</v>
      </c>
      <c r="K3423" t="s">
        <v>56</v>
      </c>
      <c r="L3423" t="s">
        <v>8292</v>
      </c>
      <c r="M3423" s="3" t="str">
        <f>HYPERLINK("..\..\Imagery\ScannedPhotos\1991\VN91-122.4.jpg")</f>
        <v>..\..\Imagery\ScannedPhotos\1991\VN91-122.4.jpg</v>
      </c>
    </row>
    <row r="3424" spans="1:14" x14ac:dyDescent="0.25">
      <c r="A3424" t="s">
        <v>8288</v>
      </c>
      <c r="B3424">
        <v>489789</v>
      </c>
      <c r="C3424">
        <v>5829534</v>
      </c>
      <c r="D3424">
        <v>21</v>
      </c>
      <c r="E3424" t="s">
        <v>15</v>
      </c>
      <c r="F3424" t="s">
        <v>8293</v>
      </c>
      <c r="G3424">
        <v>4</v>
      </c>
      <c r="H3424" t="s">
        <v>2789</v>
      </c>
      <c r="I3424" t="s">
        <v>137</v>
      </c>
      <c r="J3424" t="s">
        <v>413</v>
      </c>
      <c r="K3424" t="s">
        <v>56</v>
      </c>
      <c r="L3424" t="s">
        <v>8294</v>
      </c>
      <c r="M3424" s="3" t="str">
        <f>HYPERLINK("..\..\Imagery\ScannedPhotos\1991\VN91-122.2.jpg")</f>
        <v>..\..\Imagery\ScannedPhotos\1991\VN91-122.2.jpg</v>
      </c>
    </row>
    <row r="3425" spans="1:13" x14ac:dyDescent="0.25">
      <c r="A3425" t="s">
        <v>8288</v>
      </c>
      <c r="B3425">
        <v>489789</v>
      </c>
      <c r="C3425">
        <v>5829534</v>
      </c>
      <c r="D3425">
        <v>21</v>
      </c>
      <c r="E3425" t="s">
        <v>15</v>
      </c>
      <c r="F3425" t="s">
        <v>8295</v>
      </c>
      <c r="G3425">
        <v>4</v>
      </c>
      <c r="H3425" t="s">
        <v>2789</v>
      </c>
      <c r="I3425" t="s">
        <v>18</v>
      </c>
      <c r="J3425" t="s">
        <v>413</v>
      </c>
      <c r="K3425" t="s">
        <v>56</v>
      </c>
      <c r="L3425" t="s">
        <v>8296</v>
      </c>
      <c r="M3425" s="3" t="str">
        <f>HYPERLINK("..\..\Imagery\ScannedPhotos\1991\VN91-122.3.jpg")</f>
        <v>..\..\Imagery\ScannedPhotos\1991\VN91-122.3.jpg</v>
      </c>
    </row>
    <row r="3426" spans="1:13" x14ac:dyDescent="0.25">
      <c r="A3426" t="s">
        <v>8297</v>
      </c>
      <c r="B3426">
        <v>429887</v>
      </c>
      <c r="C3426">
        <v>6015594</v>
      </c>
      <c r="D3426">
        <v>21</v>
      </c>
      <c r="E3426" t="s">
        <v>15</v>
      </c>
      <c r="F3426" t="s">
        <v>8298</v>
      </c>
      <c r="G3426">
        <v>2</v>
      </c>
      <c r="H3426" t="s">
        <v>4104</v>
      </c>
      <c r="I3426" t="s">
        <v>85</v>
      </c>
      <c r="J3426" t="s">
        <v>4105</v>
      </c>
      <c r="K3426" t="s">
        <v>20</v>
      </c>
      <c r="L3426" t="s">
        <v>3592</v>
      </c>
      <c r="M3426" s="3" t="str">
        <f>HYPERLINK("..\..\Imagery\ScannedPhotos\1979\CG79-924.1.jpg")</f>
        <v>..\..\Imagery\ScannedPhotos\1979\CG79-924.1.jpg</v>
      </c>
    </row>
    <row r="3427" spans="1:13" x14ac:dyDescent="0.25">
      <c r="A3427" t="s">
        <v>8297</v>
      </c>
      <c r="B3427">
        <v>429887</v>
      </c>
      <c r="C3427">
        <v>6015594</v>
      </c>
      <c r="D3427">
        <v>21</v>
      </c>
      <c r="E3427" t="s">
        <v>15</v>
      </c>
      <c r="F3427" t="s">
        <v>8299</v>
      </c>
      <c r="G3427">
        <v>2</v>
      </c>
      <c r="H3427" t="s">
        <v>4104</v>
      </c>
      <c r="I3427" t="s">
        <v>375</v>
      </c>
      <c r="J3427" t="s">
        <v>4105</v>
      </c>
      <c r="K3427" t="s">
        <v>20</v>
      </c>
      <c r="L3427" t="s">
        <v>8300</v>
      </c>
      <c r="M3427" s="3" t="str">
        <f>HYPERLINK("..\..\Imagery\ScannedPhotos\1979\CG79-924.2.jpg")</f>
        <v>..\..\Imagery\ScannedPhotos\1979\CG79-924.2.jpg</v>
      </c>
    </row>
    <row r="3428" spans="1:13" x14ac:dyDescent="0.25">
      <c r="A3428" t="s">
        <v>8301</v>
      </c>
      <c r="B3428">
        <v>423009</v>
      </c>
      <c r="C3428">
        <v>6016406</v>
      </c>
      <c r="D3428">
        <v>21</v>
      </c>
      <c r="E3428" t="s">
        <v>15</v>
      </c>
      <c r="F3428" t="s">
        <v>8302</v>
      </c>
      <c r="G3428">
        <v>1</v>
      </c>
      <c r="H3428" t="s">
        <v>4104</v>
      </c>
      <c r="I3428" t="s">
        <v>94</v>
      </c>
      <c r="J3428" t="s">
        <v>4105</v>
      </c>
      <c r="K3428" t="s">
        <v>20</v>
      </c>
      <c r="L3428" t="s">
        <v>8303</v>
      </c>
      <c r="M3428" s="3" t="str">
        <f>HYPERLINK("..\..\Imagery\ScannedPhotos\1979\CG79-934.jpg")</f>
        <v>..\..\Imagery\ScannedPhotos\1979\CG79-934.jpg</v>
      </c>
    </row>
    <row r="3429" spans="1:13" x14ac:dyDescent="0.25">
      <c r="A3429" t="s">
        <v>7417</v>
      </c>
      <c r="B3429">
        <v>344843</v>
      </c>
      <c r="C3429">
        <v>5852094</v>
      </c>
      <c r="D3429">
        <v>21</v>
      </c>
      <c r="E3429" t="s">
        <v>15</v>
      </c>
      <c r="F3429" t="s">
        <v>8304</v>
      </c>
      <c r="G3429">
        <v>6</v>
      </c>
      <c r="H3429" t="s">
        <v>7363</v>
      </c>
      <c r="I3429" t="s">
        <v>74</v>
      </c>
      <c r="J3429" t="s">
        <v>7364</v>
      </c>
      <c r="K3429" t="s">
        <v>228</v>
      </c>
      <c r="L3429" t="s">
        <v>8305</v>
      </c>
      <c r="M3429" s="3" t="str">
        <f>HYPERLINK("..\..\Imagery\ScannedPhotos\1998\CG98-218.1.jpg")</f>
        <v>..\..\Imagery\ScannedPhotos\1998\CG98-218.1.jpg</v>
      </c>
    </row>
    <row r="3430" spans="1:13" x14ac:dyDescent="0.25">
      <c r="A3430" t="s">
        <v>7417</v>
      </c>
      <c r="B3430">
        <v>344843</v>
      </c>
      <c r="C3430">
        <v>5852094</v>
      </c>
      <c r="D3430">
        <v>21</v>
      </c>
      <c r="E3430" t="s">
        <v>15</v>
      </c>
      <c r="F3430" t="s">
        <v>8306</v>
      </c>
      <c r="G3430">
        <v>6</v>
      </c>
      <c r="H3430" t="s">
        <v>7363</v>
      </c>
      <c r="I3430" t="s">
        <v>41</v>
      </c>
      <c r="J3430" t="s">
        <v>7364</v>
      </c>
      <c r="K3430" t="s">
        <v>228</v>
      </c>
      <c r="L3430" t="s">
        <v>8307</v>
      </c>
      <c r="M3430" s="3" t="str">
        <f>HYPERLINK("..\..\Imagery\ScannedPhotos\1998\CG98-218.2.jpg")</f>
        <v>..\..\Imagery\ScannedPhotos\1998\CG98-218.2.jpg</v>
      </c>
    </row>
    <row r="3431" spans="1:13" x14ac:dyDescent="0.25">
      <c r="A3431" t="s">
        <v>4741</v>
      </c>
      <c r="B3431">
        <v>495032</v>
      </c>
      <c r="C3431">
        <v>5968359</v>
      </c>
      <c r="D3431">
        <v>21</v>
      </c>
      <c r="E3431" t="s">
        <v>15</v>
      </c>
      <c r="F3431" t="s">
        <v>8308</v>
      </c>
      <c r="G3431">
        <v>3</v>
      </c>
      <c r="H3431" t="s">
        <v>1964</v>
      </c>
      <c r="I3431" t="s">
        <v>129</v>
      </c>
      <c r="J3431" t="s">
        <v>1965</v>
      </c>
      <c r="K3431" t="s">
        <v>20</v>
      </c>
      <c r="L3431" t="s">
        <v>8309</v>
      </c>
      <c r="M3431" s="3" t="str">
        <f>HYPERLINK("..\..\Imagery\ScannedPhotos\1977\MC77-238.2.jpg")</f>
        <v>..\..\Imagery\ScannedPhotos\1977\MC77-238.2.jpg</v>
      </c>
    </row>
    <row r="3432" spans="1:13" x14ac:dyDescent="0.25">
      <c r="A3432" t="s">
        <v>7509</v>
      </c>
      <c r="B3432">
        <v>455480</v>
      </c>
      <c r="C3432">
        <v>5894511</v>
      </c>
      <c r="D3432">
        <v>21</v>
      </c>
      <c r="E3432" t="s">
        <v>15</v>
      </c>
      <c r="F3432" t="s">
        <v>8310</v>
      </c>
      <c r="G3432">
        <v>3</v>
      </c>
      <c r="H3432" t="s">
        <v>60</v>
      </c>
      <c r="I3432" t="s">
        <v>281</v>
      </c>
      <c r="J3432" t="s">
        <v>61</v>
      </c>
      <c r="K3432" t="s">
        <v>20</v>
      </c>
      <c r="L3432" t="s">
        <v>8311</v>
      </c>
      <c r="M3432" s="3" t="str">
        <f>HYPERLINK("..\..\Imagery\ScannedPhotos\1984\CG84-174.3.jpg")</f>
        <v>..\..\Imagery\ScannedPhotos\1984\CG84-174.3.jpg</v>
      </c>
    </row>
    <row r="3433" spans="1:13" x14ac:dyDescent="0.25">
      <c r="A3433" t="s">
        <v>3785</v>
      </c>
      <c r="B3433">
        <v>415040</v>
      </c>
      <c r="C3433">
        <v>5782788</v>
      </c>
      <c r="D3433">
        <v>21</v>
      </c>
      <c r="E3433" t="s">
        <v>15</v>
      </c>
      <c r="F3433" t="s">
        <v>8312</v>
      </c>
      <c r="G3433">
        <v>2</v>
      </c>
      <c r="H3433" t="s">
        <v>738</v>
      </c>
      <c r="I3433" t="s">
        <v>108</v>
      </c>
      <c r="J3433" t="s">
        <v>739</v>
      </c>
      <c r="K3433" t="s">
        <v>20</v>
      </c>
      <c r="L3433" t="s">
        <v>8313</v>
      </c>
      <c r="M3433" s="3" t="str">
        <f>HYPERLINK("..\..\Imagery\ScannedPhotos\1999\CG99-076.1.jpg")</f>
        <v>..\..\Imagery\ScannedPhotos\1999\CG99-076.1.jpg</v>
      </c>
    </row>
    <row r="3434" spans="1:13" x14ac:dyDescent="0.25">
      <c r="A3434" t="s">
        <v>8314</v>
      </c>
      <c r="B3434">
        <v>414742</v>
      </c>
      <c r="C3434">
        <v>5783332</v>
      </c>
      <c r="D3434">
        <v>21</v>
      </c>
      <c r="E3434" t="s">
        <v>15</v>
      </c>
      <c r="F3434" t="s">
        <v>8315</v>
      </c>
      <c r="G3434">
        <v>1</v>
      </c>
      <c r="H3434" t="s">
        <v>738</v>
      </c>
      <c r="I3434" t="s">
        <v>143</v>
      </c>
      <c r="J3434" t="s">
        <v>739</v>
      </c>
      <c r="K3434" t="s">
        <v>56</v>
      </c>
      <c r="L3434" t="s">
        <v>8316</v>
      </c>
      <c r="M3434" s="3" t="str">
        <f>HYPERLINK("..\..\Imagery\ScannedPhotos\1999\CG99-078.jpg")</f>
        <v>..\..\Imagery\ScannedPhotos\1999\CG99-078.jpg</v>
      </c>
    </row>
    <row r="3435" spans="1:13" x14ac:dyDescent="0.25">
      <c r="A3435" t="s">
        <v>8317</v>
      </c>
      <c r="B3435">
        <v>414418</v>
      </c>
      <c r="C3435">
        <v>5783854</v>
      </c>
      <c r="D3435">
        <v>21</v>
      </c>
      <c r="E3435" t="s">
        <v>15</v>
      </c>
      <c r="F3435" t="s">
        <v>8318</v>
      </c>
      <c r="G3435">
        <v>2</v>
      </c>
      <c r="H3435" t="s">
        <v>738</v>
      </c>
      <c r="I3435" t="s">
        <v>147</v>
      </c>
      <c r="J3435" t="s">
        <v>739</v>
      </c>
      <c r="K3435" t="s">
        <v>20</v>
      </c>
      <c r="L3435" t="s">
        <v>8319</v>
      </c>
      <c r="M3435" s="3" t="str">
        <f>HYPERLINK("..\..\Imagery\ScannedPhotos\1999\CG99-079.2.jpg")</f>
        <v>..\..\Imagery\ScannedPhotos\1999\CG99-079.2.jpg</v>
      </c>
    </row>
    <row r="3436" spans="1:13" x14ac:dyDescent="0.25">
      <c r="A3436" t="s">
        <v>8317</v>
      </c>
      <c r="B3436">
        <v>414418</v>
      </c>
      <c r="C3436">
        <v>5783854</v>
      </c>
      <c r="D3436">
        <v>21</v>
      </c>
      <c r="E3436" t="s">
        <v>15</v>
      </c>
      <c r="F3436" t="s">
        <v>8320</v>
      </c>
      <c r="G3436">
        <v>2</v>
      </c>
      <c r="H3436" t="s">
        <v>766</v>
      </c>
      <c r="I3436" t="s">
        <v>35</v>
      </c>
      <c r="J3436" t="s">
        <v>767</v>
      </c>
      <c r="K3436" t="s">
        <v>20</v>
      </c>
      <c r="L3436" t="s">
        <v>8321</v>
      </c>
      <c r="M3436" s="3" t="str">
        <f>HYPERLINK("..\..\Imagery\ScannedPhotos\1999\CG99-079.1.jpg")</f>
        <v>..\..\Imagery\ScannedPhotos\1999\CG99-079.1.jpg</v>
      </c>
    </row>
    <row r="3437" spans="1:13" x14ac:dyDescent="0.25">
      <c r="A3437" t="s">
        <v>8322</v>
      </c>
      <c r="B3437">
        <v>491925</v>
      </c>
      <c r="C3437">
        <v>5821325</v>
      </c>
      <c r="D3437">
        <v>21</v>
      </c>
      <c r="E3437" t="s">
        <v>15</v>
      </c>
      <c r="F3437" t="s">
        <v>8323</v>
      </c>
      <c r="G3437">
        <v>2</v>
      </c>
      <c r="H3437" t="s">
        <v>3330</v>
      </c>
      <c r="I3437" t="s">
        <v>209</v>
      </c>
      <c r="J3437" t="s">
        <v>850</v>
      </c>
      <c r="K3437" t="s">
        <v>20</v>
      </c>
      <c r="L3437" t="s">
        <v>3229</v>
      </c>
      <c r="M3437" s="3" t="str">
        <f>HYPERLINK("..\..\Imagery\ScannedPhotos\1991\DD91-005.1.jpg")</f>
        <v>..\..\Imagery\ScannedPhotos\1991\DD91-005.1.jpg</v>
      </c>
    </row>
    <row r="3438" spans="1:13" x14ac:dyDescent="0.25">
      <c r="A3438" t="s">
        <v>8322</v>
      </c>
      <c r="B3438">
        <v>491925</v>
      </c>
      <c r="C3438">
        <v>5821325</v>
      </c>
      <c r="D3438">
        <v>21</v>
      </c>
      <c r="E3438" t="s">
        <v>15</v>
      </c>
      <c r="F3438" t="s">
        <v>8324</v>
      </c>
      <c r="G3438">
        <v>2</v>
      </c>
      <c r="H3438" t="s">
        <v>3330</v>
      </c>
      <c r="I3438" t="s">
        <v>386</v>
      </c>
      <c r="J3438" t="s">
        <v>850</v>
      </c>
      <c r="K3438" t="s">
        <v>20</v>
      </c>
      <c r="L3438" t="s">
        <v>3229</v>
      </c>
      <c r="M3438" s="3" t="str">
        <f>HYPERLINK("..\..\Imagery\ScannedPhotos\1991\DD91-005.2.jpg")</f>
        <v>..\..\Imagery\ScannedPhotos\1991\DD91-005.2.jpg</v>
      </c>
    </row>
    <row r="3439" spans="1:13" x14ac:dyDescent="0.25">
      <c r="A3439" t="s">
        <v>3328</v>
      </c>
      <c r="B3439">
        <v>490780</v>
      </c>
      <c r="C3439">
        <v>5821468</v>
      </c>
      <c r="D3439">
        <v>21</v>
      </c>
      <c r="E3439" t="s">
        <v>15</v>
      </c>
      <c r="F3439" t="s">
        <v>8325</v>
      </c>
      <c r="G3439">
        <v>3</v>
      </c>
      <c r="H3439" t="s">
        <v>3330</v>
      </c>
      <c r="I3439" t="s">
        <v>214</v>
      </c>
      <c r="J3439" t="s">
        <v>850</v>
      </c>
      <c r="K3439" t="s">
        <v>20</v>
      </c>
      <c r="L3439" t="s">
        <v>3229</v>
      </c>
      <c r="M3439" s="3" t="str">
        <f>HYPERLINK("..\..\Imagery\ScannedPhotos\1991\DD91-006.2.jpg")</f>
        <v>..\..\Imagery\ScannedPhotos\1991\DD91-006.2.jpg</v>
      </c>
    </row>
    <row r="3440" spans="1:13" x14ac:dyDescent="0.25">
      <c r="A3440" t="s">
        <v>3328</v>
      </c>
      <c r="B3440">
        <v>490780</v>
      </c>
      <c r="C3440">
        <v>5821468</v>
      </c>
      <c r="D3440">
        <v>21</v>
      </c>
      <c r="E3440" t="s">
        <v>15</v>
      </c>
      <c r="F3440" t="s">
        <v>8326</v>
      </c>
      <c r="G3440">
        <v>3</v>
      </c>
      <c r="H3440" t="s">
        <v>3330</v>
      </c>
      <c r="I3440" t="s">
        <v>217</v>
      </c>
      <c r="J3440" t="s">
        <v>850</v>
      </c>
      <c r="K3440" t="s">
        <v>20</v>
      </c>
      <c r="L3440" t="s">
        <v>3229</v>
      </c>
      <c r="M3440" s="3" t="str">
        <f>HYPERLINK("..\..\Imagery\ScannedPhotos\1991\DD91-006.1.jpg")</f>
        <v>..\..\Imagery\ScannedPhotos\1991\DD91-006.1.jpg</v>
      </c>
    </row>
    <row r="3441" spans="1:13" x14ac:dyDescent="0.25">
      <c r="A3441" t="s">
        <v>8327</v>
      </c>
      <c r="B3441">
        <v>490584</v>
      </c>
      <c r="C3441">
        <v>5820855</v>
      </c>
      <c r="D3441">
        <v>21</v>
      </c>
      <c r="E3441" t="s">
        <v>15</v>
      </c>
      <c r="F3441" t="s">
        <v>8328</v>
      </c>
      <c r="G3441">
        <v>5</v>
      </c>
      <c r="H3441" t="s">
        <v>3330</v>
      </c>
      <c r="I3441" t="s">
        <v>304</v>
      </c>
      <c r="J3441" t="s">
        <v>850</v>
      </c>
      <c r="K3441" t="s">
        <v>56</v>
      </c>
      <c r="L3441" t="s">
        <v>8329</v>
      </c>
      <c r="M3441" s="3" t="str">
        <f>HYPERLINK("..\..\Imagery\ScannedPhotos\1991\DD91-007.1.jpg")</f>
        <v>..\..\Imagery\ScannedPhotos\1991\DD91-007.1.jpg</v>
      </c>
    </row>
    <row r="3442" spans="1:13" x14ac:dyDescent="0.25">
      <c r="A3442" t="s">
        <v>8327</v>
      </c>
      <c r="B3442">
        <v>490584</v>
      </c>
      <c r="C3442">
        <v>5820855</v>
      </c>
      <c r="D3442">
        <v>21</v>
      </c>
      <c r="E3442" t="s">
        <v>15</v>
      </c>
      <c r="F3442" t="s">
        <v>8330</v>
      </c>
      <c r="G3442">
        <v>5</v>
      </c>
      <c r="H3442" t="s">
        <v>3330</v>
      </c>
      <c r="I3442" t="s">
        <v>195</v>
      </c>
      <c r="J3442" t="s">
        <v>850</v>
      </c>
      <c r="K3442" t="s">
        <v>56</v>
      </c>
      <c r="L3442" t="s">
        <v>8329</v>
      </c>
      <c r="M3442" s="3" t="str">
        <f>HYPERLINK("..\..\Imagery\ScannedPhotos\1991\DD91-007.2.jpg")</f>
        <v>..\..\Imagery\ScannedPhotos\1991\DD91-007.2.jpg</v>
      </c>
    </row>
    <row r="3443" spans="1:13" x14ac:dyDescent="0.25">
      <c r="A3443" t="s">
        <v>8327</v>
      </c>
      <c r="B3443">
        <v>490584</v>
      </c>
      <c r="C3443">
        <v>5820855</v>
      </c>
      <c r="D3443">
        <v>21</v>
      </c>
      <c r="E3443" t="s">
        <v>15</v>
      </c>
      <c r="F3443" t="s">
        <v>8331</v>
      </c>
      <c r="G3443">
        <v>5</v>
      </c>
      <c r="H3443" t="s">
        <v>3330</v>
      </c>
      <c r="I3443" t="s">
        <v>25</v>
      </c>
      <c r="J3443" t="s">
        <v>850</v>
      </c>
      <c r="K3443" t="s">
        <v>56</v>
      </c>
      <c r="L3443" t="s">
        <v>43</v>
      </c>
      <c r="M3443" s="3" t="str">
        <f>HYPERLINK("..\..\Imagery\ScannedPhotos\1991\DD91-007.3.jpg")</f>
        <v>..\..\Imagery\ScannedPhotos\1991\DD91-007.3.jpg</v>
      </c>
    </row>
    <row r="3444" spans="1:13" x14ac:dyDescent="0.25">
      <c r="A3444" t="s">
        <v>8327</v>
      </c>
      <c r="B3444">
        <v>490584</v>
      </c>
      <c r="C3444">
        <v>5820855</v>
      </c>
      <c r="D3444">
        <v>21</v>
      </c>
      <c r="E3444" t="s">
        <v>15</v>
      </c>
      <c r="F3444" t="s">
        <v>8332</v>
      </c>
      <c r="G3444">
        <v>5</v>
      </c>
      <c r="H3444" t="s">
        <v>3330</v>
      </c>
      <c r="I3444" t="s">
        <v>360</v>
      </c>
      <c r="J3444" t="s">
        <v>850</v>
      </c>
      <c r="K3444" t="s">
        <v>20</v>
      </c>
      <c r="L3444" t="s">
        <v>8333</v>
      </c>
      <c r="M3444" s="3" t="str">
        <f>HYPERLINK("..\..\Imagery\ScannedPhotos\1991\DD91-007.4.jpg")</f>
        <v>..\..\Imagery\ScannedPhotos\1991\DD91-007.4.jpg</v>
      </c>
    </row>
    <row r="3445" spans="1:13" x14ac:dyDescent="0.25">
      <c r="A3445" t="s">
        <v>8327</v>
      </c>
      <c r="B3445">
        <v>490584</v>
      </c>
      <c r="C3445">
        <v>5820855</v>
      </c>
      <c r="D3445">
        <v>21</v>
      </c>
      <c r="E3445" t="s">
        <v>15</v>
      </c>
      <c r="F3445" t="s">
        <v>8334</v>
      </c>
      <c r="G3445">
        <v>5</v>
      </c>
      <c r="H3445" t="s">
        <v>3330</v>
      </c>
      <c r="I3445" t="s">
        <v>647</v>
      </c>
      <c r="J3445" t="s">
        <v>850</v>
      </c>
      <c r="K3445" t="s">
        <v>20</v>
      </c>
      <c r="L3445" t="s">
        <v>8335</v>
      </c>
      <c r="M3445" s="3" t="str">
        <f>HYPERLINK("..\..\Imagery\ScannedPhotos\1991\DD91-007.5.jpg")</f>
        <v>..\..\Imagery\ScannedPhotos\1991\DD91-007.5.jpg</v>
      </c>
    </row>
    <row r="3446" spans="1:13" x14ac:dyDescent="0.25">
      <c r="A3446" t="s">
        <v>8336</v>
      </c>
      <c r="B3446">
        <v>498016</v>
      </c>
      <c r="C3446">
        <v>5868357</v>
      </c>
      <c r="D3446">
        <v>21</v>
      </c>
      <c r="E3446" t="s">
        <v>15</v>
      </c>
      <c r="F3446" t="s">
        <v>8337</v>
      </c>
      <c r="G3446">
        <v>2</v>
      </c>
      <c r="H3446" t="s">
        <v>3330</v>
      </c>
      <c r="I3446" t="s">
        <v>114</v>
      </c>
      <c r="J3446" t="s">
        <v>850</v>
      </c>
      <c r="K3446" t="s">
        <v>20</v>
      </c>
      <c r="L3446" t="s">
        <v>8338</v>
      </c>
      <c r="M3446" s="3" t="str">
        <f>HYPERLINK("..\..\Imagery\ScannedPhotos\1991\DD91-014.2.jpg")</f>
        <v>..\..\Imagery\ScannedPhotos\1991\DD91-014.2.jpg</v>
      </c>
    </row>
    <row r="3447" spans="1:13" x14ac:dyDescent="0.25">
      <c r="A3447" t="s">
        <v>8336</v>
      </c>
      <c r="B3447">
        <v>498016</v>
      </c>
      <c r="C3447">
        <v>5868357</v>
      </c>
      <c r="D3447">
        <v>21</v>
      </c>
      <c r="E3447" t="s">
        <v>15</v>
      </c>
      <c r="F3447" t="s">
        <v>8339</v>
      </c>
      <c r="G3447">
        <v>2</v>
      </c>
      <c r="H3447" t="s">
        <v>3330</v>
      </c>
      <c r="I3447" t="s">
        <v>30</v>
      </c>
      <c r="J3447" t="s">
        <v>850</v>
      </c>
      <c r="K3447" t="s">
        <v>20</v>
      </c>
      <c r="L3447" t="s">
        <v>2525</v>
      </c>
      <c r="M3447" s="3" t="str">
        <f>HYPERLINK("..\..\Imagery\ScannedPhotos\1991\DD91-014.1.jpg")</f>
        <v>..\..\Imagery\ScannedPhotos\1991\DD91-014.1.jpg</v>
      </c>
    </row>
    <row r="3448" spans="1:13" x14ac:dyDescent="0.25">
      <c r="A3448" t="s">
        <v>8340</v>
      </c>
      <c r="B3448">
        <v>497650</v>
      </c>
      <c r="C3448">
        <v>5867300</v>
      </c>
      <c r="D3448">
        <v>21</v>
      </c>
      <c r="E3448" t="s">
        <v>15</v>
      </c>
      <c r="F3448" t="s">
        <v>8341</v>
      </c>
      <c r="G3448">
        <v>2</v>
      </c>
      <c r="H3448" t="s">
        <v>3330</v>
      </c>
      <c r="I3448" t="s">
        <v>122</v>
      </c>
      <c r="J3448" t="s">
        <v>850</v>
      </c>
      <c r="K3448" t="s">
        <v>20</v>
      </c>
      <c r="L3448" t="s">
        <v>8342</v>
      </c>
      <c r="M3448" s="3" t="str">
        <f>HYPERLINK("..\..\Imagery\ScannedPhotos\1991\DD91-015.2.jpg")</f>
        <v>..\..\Imagery\ScannedPhotos\1991\DD91-015.2.jpg</v>
      </c>
    </row>
    <row r="3449" spans="1:13" x14ac:dyDescent="0.25">
      <c r="A3449" t="s">
        <v>8340</v>
      </c>
      <c r="B3449">
        <v>497650</v>
      </c>
      <c r="C3449">
        <v>5867300</v>
      </c>
      <c r="D3449">
        <v>21</v>
      </c>
      <c r="E3449" t="s">
        <v>15</v>
      </c>
      <c r="F3449" t="s">
        <v>8343</v>
      </c>
      <c r="G3449">
        <v>2</v>
      </c>
      <c r="H3449" t="s">
        <v>3330</v>
      </c>
      <c r="I3449" t="s">
        <v>119</v>
      </c>
      <c r="J3449" t="s">
        <v>850</v>
      </c>
      <c r="K3449" t="s">
        <v>20</v>
      </c>
      <c r="L3449" t="s">
        <v>2525</v>
      </c>
      <c r="M3449" s="3" t="str">
        <f>HYPERLINK("..\..\Imagery\ScannedPhotos\1991\DD91-015.1.jpg")</f>
        <v>..\..\Imagery\ScannedPhotos\1991\DD91-015.1.jpg</v>
      </c>
    </row>
    <row r="3450" spans="1:13" x14ac:dyDescent="0.25">
      <c r="A3450" t="s">
        <v>5720</v>
      </c>
      <c r="B3450">
        <v>497088</v>
      </c>
      <c r="C3450">
        <v>5867894</v>
      </c>
      <c r="D3450">
        <v>21</v>
      </c>
      <c r="E3450" t="s">
        <v>15</v>
      </c>
      <c r="F3450" t="s">
        <v>8344</v>
      </c>
      <c r="G3450">
        <v>2</v>
      </c>
      <c r="H3450" t="s">
        <v>3330</v>
      </c>
      <c r="I3450" t="s">
        <v>126</v>
      </c>
      <c r="J3450" t="s">
        <v>850</v>
      </c>
      <c r="K3450" t="s">
        <v>20</v>
      </c>
      <c r="L3450" t="s">
        <v>5722</v>
      </c>
      <c r="M3450" s="3" t="str">
        <f>HYPERLINK("..\..\Imagery\ScannedPhotos\1991\DD91-016.1.jpg")</f>
        <v>..\..\Imagery\ScannedPhotos\1991\DD91-016.1.jpg</v>
      </c>
    </row>
    <row r="3451" spans="1:13" x14ac:dyDescent="0.25">
      <c r="A3451" t="s">
        <v>8345</v>
      </c>
      <c r="B3451">
        <v>578514</v>
      </c>
      <c r="C3451">
        <v>5818016</v>
      </c>
      <c r="D3451">
        <v>21</v>
      </c>
      <c r="E3451" t="s">
        <v>15</v>
      </c>
      <c r="F3451" t="s">
        <v>8346</v>
      </c>
      <c r="G3451">
        <v>1</v>
      </c>
      <c r="H3451" t="s">
        <v>288</v>
      </c>
      <c r="I3451" t="s">
        <v>52</v>
      </c>
      <c r="J3451" t="s">
        <v>289</v>
      </c>
      <c r="K3451" t="s">
        <v>56</v>
      </c>
      <c r="L3451" t="s">
        <v>8347</v>
      </c>
      <c r="M3451" s="3" t="str">
        <f>HYPERLINK("..\..\Imagery\ScannedPhotos\1986\CG86-708.jpg")</f>
        <v>..\..\Imagery\ScannedPhotos\1986\CG86-708.jpg</v>
      </c>
    </row>
    <row r="3452" spans="1:13" x14ac:dyDescent="0.25">
      <c r="A3452" t="s">
        <v>8348</v>
      </c>
      <c r="B3452">
        <v>474750</v>
      </c>
      <c r="C3452">
        <v>5778375</v>
      </c>
      <c r="D3452">
        <v>21</v>
      </c>
      <c r="E3452" t="s">
        <v>15</v>
      </c>
      <c r="F3452" t="s">
        <v>8349</v>
      </c>
      <c r="G3452">
        <v>2</v>
      </c>
      <c r="H3452" t="s">
        <v>746</v>
      </c>
      <c r="I3452" t="s">
        <v>65</v>
      </c>
      <c r="J3452" t="s">
        <v>747</v>
      </c>
      <c r="K3452" t="s">
        <v>20</v>
      </c>
      <c r="L3452" t="s">
        <v>8350</v>
      </c>
      <c r="M3452" s="3" t="str">
        <f>HYPERLINK("..\..\Imagery\ScannedPhotos\1992\CG92-256.1.jpg")</f>
        <v>..\..\Imagery\ScannedPhotos\1992\CG92-256.1.jpg</v>
      </c>
    </row>
    <row r="3453" spans="1:13" x14ac:dyDescent="0.25">
      <c r="A3453" t="s">
        <v>8348</v>
      </c>
      <c r="B3453">
        <v>474750</v>
      </c>
      <c r="C3453">
        <v>5778375</v>
      </c>
      <c r="D3453">
        <v>21</v>
      </c>
      <c r="E3453" t="s">
        <v>15</v>
      </c>
      <c r="F3453" t="s">
        <v>8351</v>
      </c>
      <c r="G3453">
        <v>2</v>
      </c>
      <c r="H3453" t="s">
        <v>746</v>
      </c>
      <c r="I3453" t="s">
        <v>401</v>
      </c>
      <c r="J3453" t="s">
        <v>747</v>
      </c>
      <c r="K3453" t="s">
        <v>20</v>
      </c>
      <c r="L3453" t="s">
        <v>8350</v>
      </c>
      <c r="M3453" s="3" t="str">
        <f>HYPERLINK("..\..\Imagery\ScannedPhotos\1992\CG92-256.2.jpg")</f>
        <v>..\..\Imagery\ScannedPhotos\1992\CG92-256.2.jpg</v>
      </c>
    </row>
    <row r="3454" spans="1:13" x14ac:dyDescent="0.25">
      <c r="A3454" t="s">
        <v>3719</v>
      </c>
      <c r="B3454">
        <v>488710</v>
      </c>
      <c r="C3454">
        <v>5771388</v>
      </c>
      <c r="D3454">
        <v>21</v>
      </c>
      <c r="E3454" t="s">
        <v>15</v>
      </c>
      <c r="F3454" t="s">
        <v>8352</v>
      </c>
      <c r="G3454">
        <v>2</v>
      </c>
      <c r="H3454" t="s">
        <v>746</v>
      </c>
      <c r="I3454" t="s">
        <v>108</v>
      </c>
      <c r="J3454" t="s">
        <v>747</v>
      </c>
      <c r="K3454" t="s">
        <v>20</v>
      </c>
      <c r="L3454" t="s">
        <v>8353</v>
      </c>
      <c r="M3454" s="3" t="str">
        <f>HYPERLINK("..\..\Imagery\ScannedPhotos\1992\CG92-269.2.jpg")</f>
        <v>..\..\Imagery\ScannedPhotos\1992\CG92-269.2.jpg</v>
      </c>
    </row>
    <row r="3455" spans="1:13" x14ac:dyDescent="0.25">
      <c r="A3455" t="s">
        <v>8354</v>
      </c>
      <c r="B3455">
        <v>579039</v>
      </c>
      <c r="C3455">
        <v>5852779</v>
      </c>
      <c r="D3455">
        <v>21</v>
      </c>
      <c r="E3455" t="s">
        <v>15</v>
      </c>
      <c r="F3455" t="s">
        <v>8355</v>
      </c>
      <c r="G3455">
        <v>3</v>
      </c>
      <c r="H3455" t="s">
        <v>2945</v>
      </c>
      <c r="I3455" t="s">
        <v>647</v>
      </c>
      <c r="J3455" t="s">
        <v>300</v>
      </c>
      <c r="K3455" t="s">
        <v>20</v>
      </c>
      <c r="L3455" t="s">
        <v>8356</v>
      </c>
      <c r="M3455" s="3" t="str">
        <f>HYPERLINK("..\..\Imagery\ScannedPhotos\1986\CG86-523.2.jpg")</f>
        <v>..\..\Imagery\ScannedPhotos\1986\CG86-523.2.jpg</v>
      </c>
    </row>
    <row r="3456" spans="1:13" x14ac:dyDescent="0.25">
      <c r="A3456" t="s">
        <v>8357</v>
      </c>
      <c r="B3456">
        <v>528574</v>
      </c>
      <c r="C3456">
        <v>5731649</v>
      </c>
      <c r="D3456">
        <v>21</v>
      </c>
      <c r="E3456" t="s">
        <v>15</v>
      </c>
      <c r="F3456" t="s">
        <v>8358</v>
      </c>
      <c r="G3456">
        <v>2</v>
      </c>
      <c r="H3456" t="s">
        <v>1061</v>
      </c>
      <c r="I3456" t="s">
        <v>30</v>
      </c>
      <c r="J3456" t="s">
        <v>1062</v>
      </c>
      <c r="K3456" t="s">
        <v>20</v>
      </c>
      <c r="L3456" t="s">
        <v>8359</v>
      </c>
      <c r="M3456" s="3" t="str">
        <f>HYPERLINK("..\..\Imagery\ScannedPhotos\1993\CG93-027.2.jpg")</f>
        <v>..\..\Imagery\ScannedPhotos\1993\CG93-027.2.jpg</v>
      </c>
    </row>
    <row r="3457" spans="1:13" x14ac:dyDescent="0.25">
      <c r="A3457" t="s">
        <v>8360</v>
      </c>
      <c r="B3457">
        <v>538648</v>
      </c>
      <c r="C3457">
        <v>5731456</v>
      </c>
      <c r="D3457">
        <v>21</v>
      </c>
      <c r="E3457" t="s">
        <v>15</v>
      </c>
      <c r="F3457" t="s">
        <v>8361</v>
      </c>
      <c r="G3457">
        <v>1</v>
      </c>
      <c r="H3457" t="s">
        <v>1061</v>
      </c>
      <c r="I3457" t="s">
        <v>114</v>
      </c>
      <c r="J3457" t="s">
        <v>1062</v>
      </c>
      <c r="K3457" t="s">
        <v>20</v>
      </c>
      <c r="L3457" t="s">
        <v>8362</v>
      </c>
      <c r="M3457" s="3" t="str">
        <f>HYPERLINK("..\..\Imagery\ScannedPhotos\1993\CG93-028.jpg")</f>
        <v>..\..\Imagery\ScannedPhotos\1993\CG93-028.jpg</v>
      </c>
    </row>
    <row r="3458" spans="1:13" x14ac:dyDescent="0.25">
      <c r="A3458" t="s">
        <v>1340</v>
      </c>
      <c r="B3458">
        <v>410640</v>
      </c>
      <c r="C3458">
        <v>6077958</v>
      </c>
      <c r="D3458">
        <v>21</v>
      </c>
      <c r="E3458" t="s">
        <v>15</v>
      </c>
      <c r="F3458" t="s">
        <v>8363</v>
      </c>
      <c r="G3458">
        <v>2</v>
      </c>
      <c r="H3458" t="s">
        <v>1207</v>
      </c>
      <c r="I3458" t="s">
        <v>209</v>
      </c>
      <c r="J3458" t="s">
        <v>1208</v>
      </c>
      <c r="K3458" t="s">
        <v>20</v>
      </c>
      <c r="L3458" t="s">
        <v>8364</v>
      </c>
      <c r="M3458" s="3" t="str">
        <f>HYPERLINK("..\..\Imagery\ScannedPhotos\1979\CG79-066.1.jpg")</f>
        <v>..\..\Imagery\ScannedPhotos\1979\CG79-066.1.jpg</v>
      </c>
    </row>
    <row r="3459" spans="1:13" x14ac:dyDescent="0.25">
      <c r="A3459" t="s">
        <v>8365</v>
      </c>
      <c r="B3459">
        <v>403689</v>
      </c>
      <c r="C3459">
        <v>5796161</v>
      </c>
      <c r="D3459">
        <v>21</v>
      </c>
      <c r="E3459" t="s">
        <v>15</v>
      </c>
      <c r="F3459" t="s">
        <v>8366</v>
      </c>
      <c r="G3459">
        <v>1</v>
      </c>
      <c r="H3459" t="s">
        <v>738</v>
      </c>
      <c r="I3459" t="s">
        <v>401</v>
      </c>
      <c r="J3459" t="s">
        <v>739</v>
      </c>
      <c r="K3459" t="s">
        <v>20</v>
      </c>
      <c r="L3459" t="s">
        <v>8367</v>
      </c>
      <c r="M3459" s="3" t="str">
        <f>HYPERLINK("..\..\Imagery\ScannedPhotos\1999\CG99-106.jpg")</f>
        <v>..\..\Imagery\ScannedPhotos\1999\CG99-106.jpg</v>
      </c>
    </row>
    <row r="3460" spans="1:13" x14ac:dyDescent="0.25">
      <c r="A3460" t="s">
        <v>8368</v>
      </c>
      <c r="B3460">
        <v>395184</v>
      </c>
      <c r="C3460">
        <v>5805870</v>
      </c>
      <c r="D3460">
        <v>21</v>
      </c>
      <c r="E3460" t="s">
        <v>15</v>
      </c>
      <c r="F3460" t="s">
        <v>8369</v>
      </c>
      <c r="G3460">
        <v>1</v>
      </c>
      <c r="H3460" t="s">
        <v>738</v>
      </c>
      <c r="I3460" t="s">
        <v>409</v>
      </c>
      <c r="J3460" t="s">
        <v>739</v>
      </c>
      <c r="K3460" t="s">
        <v>56</v>
      </c>
      <c r="L3460" t="s">
        <v>8370</v>
      </c>
      <c r="M3460" s="3" t="str">
        <f>HYPERLINK("..\..\Imagery\ScannedPhotos\1999\CG99-127.jpg")</f>
        <v>..\..\Imagery\ScannedPhotos\1999\CG99-127.jpg</v>
      </c>
    </row>
    <row r="3461" spans="1:13" x14ac:dyDescent="0.25">
      <c r="A3461" t="s">
        <v>8371</v>
      </c>
      <c r="B3461">
        <v>395319</v>
      </c>
      <c r="C3461">
        <v>5809011</v>
      </c>
      <c r="D3461">
        <v>21</v>
      </c>
      <c r="E3461" t="s">
        <v>15</v>
      </c>
      <c r="F3461" t="s">
        <v>8372</v>
      </c>
      <c r="G3461">
        <v>1</v>
      </c>
      <c r="H3461" t="s">
        <v>4033</v>
      </c>
      <c r="I3461" t="s">
        <v>281</v>
      </c>
      <c r="J3461" t="s">
        <v>4034</v>
      </c>
      <c r="K3461" t="s">
        <v>20</v>
      </c>
      <c r="L3461" t="s">
        <v>5297</v>
      </c>
      <c r="M3461" s="3" t="str">
        <f>HYPERLINK("..\..\Imagery\ScannedPhotos\1999\CG99-147.jpg")</f>
        <v>..\..\Imagery\ScannedPhotos\1999\CG99-147.jpg</v>
      </c>
    </row>
    <row r="3462" spans="1:13" x14ac:dyDescent="0.25">
      <c r="A3462" t="s">
        <v>8373</v>
      </c>
      <c r="B3462">
        <v>388724</v>
      </c>
      <c r="C3462">
        <v>5804244</v>
      </c>
      <c r="D3462">
        <v>21</v>
      </c>
      <c r="E3462" t="s">
        <v>15</v>
      </c>
      <c r="F3462" t="s">
        <v>8374</v>
      </c>
      <c r="G3462">
        <v>1</v>
      </c>
      <c r="H3462" t="s">
        <v>4033</v>
      </c>
      <c r="I3462" t="s">
        <v>137</v>
      </c>
      <c r="J3462" t="s">
        <v>4034</v>
      </c>
      <c r="K3462" t="s">
        <v>20</v>
      </c>
      <c r="L3462" t="s">
        <v>808</v>
      </c>
      <c r="M3462" s="3" t="str">
        <f>HYPERLINK("..\..\Imagery\ScannedPhotos\1999\CG99-168.jpg")</f>
        <v>..\..\Imagery\ScannedPhotos\1999\CG99-168.jpg</v>
      </c>
    </row>
    <row r="3463" spans="1:13" x14ac:dyDescent="0.25">
      <c r="A3463" t="s">
        <v>8375</v>
      </c>
      <c r="B3463">
        <v>389663</v>
      </c>
      <c r="C3463">
        <v>5814818</v>
      </c>
      <c r="D3463">
        <v>21</v>
      </c>
      <c r="E3463" t="s">
        <v>15</v>
      </c>
      <c r="F3463" t="s">
        <v>8376</v>
      </c>
      <c r="G3463">
        <v>1</v>
      </c>
      <c r="H3463" t="s">
        <v>4033</v>
      </c>
      <c r="I3463" t="s">
        <v>18</v>
      </c>
      <c r="J3463" t="s">
        <v>4034</v>
      </c>
      <c r="K3463" t="s">
        <v>56</v>
      </c>
      <c r="L3463" t="s">
        <v>8377</v>
      </c>
      <c r="M3463" s="3" t="str">
        <f>HYPERLINK("..\..\Imagery\ScannedPhotos\1999\CG99-174.jpg")</f>
        <v>..\..\Imagery\ScannedPhotos\1999\CG99-174.jpg</v>
      </c>
    </row>
    <row r="3464" spans="1:13" x14ac:dyDescent="0.25">
      <c r="A3464" t="s">
        <v>8378</v>
      </c>
      <c r="B3464">
        <v>389728</v>
      </c>
      <c r="C3464">
        <v>5816764</v>
      </c>
      <c r="D3464">
        <v>21</v>
      </c>
      <c r="E3464" t="s">
        <v>15</v>
      </c>
      <c r="F3464" t="s">
        <v>8379</v>
      </c>
      <c r="G3464">
        <v>1</v>
      </c>
      <c r="H3464" t="s">
        <v>4033</v>
      </c>
      <c r="I3464" t="s">
        <v>35</v>
      </c>
      <c r="J3464" t="s">
        <v>4034</v>
      </c>
      <c r="K3464" t="s">
        <v>56</v>
      </c>
      <c r="L3464" t="s">
        <v>776</v>
      </c>
      <c r="M3464" s="3" t="str">
        <f>HYPERLINK("..\..\Imagery\ScannedPhotos\1999\CG99-175.jpg")</f>
        <v>..\..\Imagery\ScannedPhotos\1999\CG99-175.jpg</v>
      </c>
    </row>
    <row r="3465" spans="1:13" x14ac:dyDescent="0.25">
      <c r="A3465" t="s">
        <v>8380</v>
      </c>
      <c r="B3465">
        <v>385354</v>
      </c>
      <c r="C3465">
        <v>5775318</v>
      </c>
      <c r="D3465">
        <v>21</v>
      </c>
      <c r="E3465" t="s">
        <v>15</v>
      </c>
      <c r="F3465" t="s">
        <v>8381</v>
      </c>
      <c r="G3465">
        <v>1</v>
      </c>
      <c r="H3465" t="s">
        <v>4033</v>
      </c>
      <c r="I3465" t="s">
        <v>30</v>
      </c>
      <c r="J3465" t="s">
        <v>4034</v>
      </c>
      <c r="K3465" t="s">
        <v>20</v>
      </c>
      <c r="L3465" t="s">
        <v>6464</v>
      </c>
      <c r="M3465" s="3" t="str">
        <f>HYPERLINK("..\..\Imagery\ScannedPhotos\1999\CG99-237.jpg")</f>
        <v>..\..\Imagery\ScannedPhotos\1999\CG99-237.jpg</v>
      </c>
    </row>
    <row r="3466" spans="1:13" x14ac:dyDescent="0.25">
      <c r="A3466" t="s">
        <v>8382</v>
      </c>
      <c r="B3466">
        <v>385148</v>
      </c>
      <c r="C3466">
        <v>5775833</v>
      </c>
      <c r="D3466">
        <v>21</v>
      </c>
      <c r="E3466" t="s">
        <v>15</v>
      </c>
      <c r="F3466" t="s">
        <v>8383</v>
      </c>
      <c r="G3466">
        <v>1</v>
      </c>
      <c r="H3466" t="s">
        <v>4033</v>
      </c>
      <c r="I3466" t="s">
        <v>114</v>
      </c>
      <c r="J3466" t="s">
        <v>4034</v>
      </c>
      <c r="K3466" t="s">
        <v>20</v>
      </c>
      <c r="L3466" t="s">
        <v>6464</v>
      </c>
      <c r="M3466" s="3" t="str">
        <f>HYPERLINK("..\..\Imagery\ScannedPhotos\1999\CG99-238.jpg")</f>
        <v>..\..\Imagery\ScannedPhotos\1999\CG99-238.jpg</v>
      </c>
    </row>
    <row r="3467" spans="1:13" x14ac:dyDescent="0.25">
      <c r="A3467" t="s">
        <v>8384</v>
      </c>
      <c r="B3467">
        <v>377810</v>
      </c>
      <c r="C3467">
        <v>5796299</v>
      </c>
      <c r="D3467">
        <v>21</v>
      </c>
      <c r="E3467" t="s">
        <v>15</v>
      </c>
      <c r="F3467" t="s">
        <v>8385</v>
      </c>
      <c r="G3467">
        <v>1</v>
      </c>
      <c r="H3467" t="s">
        <v>4033</v>
      </c>
      <c r="I3467" t="s">
        <v>119</v>
      </c>
      <c r="J3467" t="s">
        <v>4034</v>
      </c>
      <c r="K3467" t="s">
        <v>56</v>
      </c>
      <c r="L3467" t="s">
        <v>776</v>
      </c>
      <c r="M3467" s="3" t="str">
        <f>HYPERLINK("..\..\Imagery\ScannedPhotos\1999\CG99-243.jpg")</f>
        <v>..\..\Imagery\ScannedPhotos\1999\CG99-243.jpg</v>
      </c>
    </row>
    <row r="3468" spans="1:13" x14ac:dyDescent="0.25">
      <c r="A3468" t="s">
        <v>6847</v>
      </c>
      <c r="B3468">
        <v>584559</v>
      </c>
      <c r="C3468">
        <v>5897055</v>
      </c>
      <c r="D3468">
        <v>21</v>
      </c>
      <c r="E3468" t="s">
        <v>15</v>
      </c>
      <c r="F3468" t="s">
        <v>8386</v>
      </c>
      <c r="G3468">
        <v>3</v>
      </c>
      <c r="H3468" t="s">
        <v>136</v>
      </c>
      <c r="I3468" t="s">
        <v>47</v>
      </c>
      <c r="J3468" t="s">
        <v>138</v>
      </c>
      <c r="K3468" t="s">
        <v>20</v>
      </c>
      <c r="L3468" t="s">
        <v>6849</v>
      </c>
      <c r="M3468" s="3" t="str">
        <f>HYPERLINK("..\..\Imagery\ScannedPhotos\1985\GM85-575.1.jpg")</f>
        <v>..\..\Imagery\ScannedPhotos\1985\GM85-575.1.jpg</v>
      </c>
    </row>
    <row r="3469" spans="1:13" x14ac:dyDescent="0.25">
      <c r="A3469" t="s">
        <v>4898</v>
      </c>
      <c r="B3469">
        <v>567378</v>
      </c>
      <c r="C3469">
        <v>5836461</v>
      </c>
      <c r="D3469">
        <v>21</v>
      </c>
      <c r="E3469" t="s">
        <v>15</v>
      </c>
      <c r="F3469" t="s">
        <v>8387</v>
      </c>
      <c r="G3469">
        <v>3</v>
      </c>
      <c r="K3469" t="s">
        <v>56</v>
      </c>
      <c r="L3469" t="s">
        <v>8388</v>
      </c>
      <c r="M3469" s="3" t="str">
        <f>HYPERLINK("..\..\Imagery\ScannedPhotos\2004\CG04-110.2.jpg")</f>
        <v>..\..\Imagery\ScannedPhotos\2004\CG04-110.2.jpg</v>
      </c>
    </row>
    <row r="3470" spans="1:13" x14ac:dyDescent="0.25">
      <c r="A3470" t="s">
        <v>4898</v>
      </c>
      <c r="B3470">
        <v>567378</v>
      </c>
      <c r="C3470">
        <v>5836461</v>
      </c>
      <c r="D3470">
        <v>21</v>
      </c>
      <c r="E3470" t="s">
        <v>15</v>
      </c>
      <c r="F3470" t="s">
        <v>8389</v>
      </c>
      <c r="G3470">
        <v>3</v>
      </c>
      <c r="K3470" t="s">
        <v>20</v>
      </c>
      <c r="L3470" t="s">
        <v>8390</v>
      </c>
      <c r="M3470" s="3" t="str">
        <f>HYPERLINK("..\..\Imagery\ScannedPhotos\2004\CG04-110.3.jpg")</f>
        <v>..\..\Imagery\ScannedPhotos\2004\CG04-110.3.jpg</v>
      </c>
    </row>
    <row r="3471" spans="1:13" x14ac:dyDescent="0.25">
      <c r="A3471" t="s">
        <v>8391</v>
      </c>
      <c r="B3471">
        <v>567722</v>
      </c>
      <c r="C3471">
        <v>5836319</v>
      </c>
      <c r="D3471">
        <v>21</v>
      </c>
      <c r="E3471" t="s">
        <v>15</v>
      </c>
      <c r="F3471" t="s">
        <v>8392</v>
      </c>
      <c r="G3471">
        <v>1</v>
      </c>
      <c r="K3471" t="s">
        <v>20</v>
      </c>
      <c r="L3471" t="s">
        <v>8393</v>
      </c>
      <c r="M3471" s="3" t="str">
        <f>HYPERLINK("..\..\Imagery\ScannedPhotos\2004\CG04-111.jpg")</f>
        <v>..\..\Imagery\ScannedPhotos\2004\CG04-111.jpg</v>
      </c>
    </row>
    <row r="3472" spans="1:13" x14ac:dyDescent="0.25">
      <c r="A3472" t="s">
        <v>8394</v>
      </c>
      <c r="B3472">
        <v>571038</v>
      </c>
      <c r="C3472">
        <v>5836107</v>
      </c>
      <c r="D3472">
        <v>21</v>
      </c>
      <c r="E3472" t="s">
        <v>15</v>
      </c>
      <c r="F3472" t="s">
        <v>8395</v>
      </c>
      <c r="G3472">
        <v>1</v>
      </c>
      <c r="K3472" t="s">
        <v>56</v>
      </c>
      <c r="L3472" t="s">
        <v>8396</v>
      </c>
      <c r="M3472" s="3" t="str">
        <f>HYPERLINK("..\..\Imagery\ScannedPhotos\2004\CG04-121.jpg")</f>
        <v>..\..\Imagery\ScannedPhotos\2004\CG04-121.jpg</v>
      </c>
    </row>
    <row r="3473" spans="1:13" x14ac:dyDescent="0.25">
      <c r="A3473" t="s">
        <v>8397</v>
      </c>
      <c r="B3473">
        <v>571269</v>
      </c>
      <c r="C3473">
        <v>5836408</v>
      </c>
      <c r="D3473">
        <v>21</v>
      </c>
      <c r="E3473" t="s">
        <v>15</v>
      </c>
      <c r="F3473" t="s">
        <v>8398</v>
      </c>
      <c r="G3473">
        <v>1</v>
      </c>
      <c r="K3473" t="s">
        <v>20</v>
      </c>
      <c r="L3473" t="s">
        <v>8399</v>
      </c>
      <c r="M3473" s="3" t="str">
        <f>HYPERLINK("..\..\Imagery\ScannedPhotos\2004\CG04-122.jpg")</f>
        <v>..\..\Imagery\ScannedPhotos\2004\CG04-122.jpg</v>
      </c>
    </row>
    <row r="3474" spans="1:13" x14ac:dyDescent="0.25">
      <c r="A3474" t="s">
        <v>8400</v>
      </c>
      <c r="B3474">
        <v>573374</v>
      </c>
      <c r="C3474">
        <v>5837849</v>
      </c>
      <c r="D3474">
        <v>21</v>
      </c>
      <c r="E3474" t="s">
        <v>15</v>
      </c>
      <c r="F3474" t="s">
        <v>8401</v>
      </c>
      <c r="G3474">
        <v>1</v>
      </c>
      <c r="K3474" t="s">
        <v>228</v>
      </c>
      <c r="L3474" t="s">
        <v>8402</v>
      </c>
      <c r="M3474" s="3" t="str">
        <f>HYPERLINK("..\..\Imagery\ScannedPhotos\2004\CG04-127.jpg")</f>
        <v>..\..\Imagery\ScannedPhotos\2004\CG04-127.jpg</v>
      </c>
    </row>
    <row r="3475" spans="1:13" x14ac:dyDescent="0.25">
      <c r="A3475" t="s">
        <v>8403</v>
      </c>
      <c r="B3475">
        <v>534470</v>
      </c>
      <c r="C3475">
        <v>5833612</v>
      </c>
      <c r="D3475">
        <v>21</v>
      </c>
      <c r="E3475" t="s">
        <v>15</v>
      </c>
      <c r="F3475" t="s">
        <v>8404</v>
      </c>
      <c r="G3475">
        <v>2</v>
      </c>
      <c r="K3475" t="s">
        <v>56</v>
      </c>
      <c r="L3475" t="s">
        <v>337</v>
      </c>
      <c r="M3475" s="3" t="str">
        <f>HYPERLINK("..\..\Imagery\ScannedPhotos\2004\CG04-130.2.jpg")</f>
        <v>..\..\Imagery\ScannedPhotos\2004\CG04-130.2.jpg</v>
      </c>
    </row>
    <row r="3476" spans="1:13" x14ac:dyDescent="0.25">
      <c r="A3476" t="s">
        <v>8403</v>
      </c>
      <c r="B3476">
        <v>534470</v>
      </c>
      <c r="C3476">
        <v>5833612</v>
      </c>
      <c r="D3476">
        <v>21</v>
      </c>
      <c r="E3476" t="s">
        <v>15</v>
      </c>
      <c r="F3476" t="s">
        <v>8405</v>
      </c>
      <c r="G3476">
        <v>2</v>
      </c>
      <c r="K3476" t="s">
        <v>56</v>
      </c>
      <c r="L3476" t="s">
        <v>337</v>
      </c>
      <c r="M3476" s="3" t="str">
        <f>HYPERLINK("..\..\Imagery\ScannedPhotos\2004\CG04-130.1.jpg")</f>
        <v>..\..\Imagery\ScannedPhotos\2004\CG04-130.1.jpg</v>
      </c>
    </row>
    <row r="3477" spans="1:13" x14ac:dyDescent="0.25">
      <c r="A3477" t="s">
        <v>8406</v>
      </c>
      <c r="B3477">
        <v>532995</v>
      </c>
      <c r="C3477">
        <v>5834443</v>
      </c>
      <c r="D3477">
        <v>21</v>
      </c>
      <c r="E3477" t="s">
        <v>15</v>
      </c>
      <c r="F3477" t="s">
        <v>8407</v>
      </c>
      <c r="G3477">
        <v>1</v>
      </c>
      <c r="K3477" t="s">
        <v>56</v>
      </c>
      <c r="L3477" t="s">
        <v>337</v>
      </c>
      <c r="M3477" s="3" t="str">
        <f>HYPERLINK("..\..\Imagery\ScannedPhotos\2004\CG04-134.jpg")</f>
        <v>..\..\Imagery\ScannedPhotos\2004\CG04-134.jpg</v>
      </c>
    </row>
    <row r="3478" spans="1:13" x14ac:dyDescent="0.25">
      <c r="A3478" t="s">
        <v>335</v>
      </c>
      <c r="B3478">
        <v>538232</v>
      </c>
      <c r="C3478">
        <v>5829204</v>
      </c>
      <c r="D3478">
        <v>21</v>
      </c>
      <c r="E3478" t="s">
        <v>15</v>
      </c>
      <c r="F3478" t="s">
        <v>8408</v>
      </c>
      <c r="G3478">
        <v>9</v>
      </c>
      <c r="K3478" t="s">
        <v>56</v>
      </c>
      <c r="L3478" t="s">
        <v>337</v>
      </c>
      <c r="M3478" s="3" t="str">
        <f>HYPERLINK("..\..\Imagery\ScannedPhotos\2004\CG04-141.1.jpg")</f>
        <v>..\..\Imagery\ScannedPhotos\2004\CG04-141.1.jpg</v>
      </c>
    </row>
    <row r="3479" spans="1:13" x14ac:dyDescent="0.25">
      <c r="A3479" t="s">
        <v>8409</v>
      </c>
      <c r="B3479">
        <v>575180</v>
      </c>
      <c r="C3479">
        <v>5844723</v>
      </c>
      <c r="D3479">
        <v>21</v>
      </c>
      <c r="E3479" t="s">
        <v>15</v>
      </c>
      <c r="F3479" t="s">
        <v>8410</v>
      </c>
      <c r="G3479">
        <v>1</v>
      </c>
      <c r="H3479" t="s">
        <v>3162</v>
      </c>
      <c r="I3479" t="s">
        <v>143</v>
      </c>
      <c r="J3479" t="s">
        <v>3163</v>
      </c>
      <c r="K3479" t="s">
        <v>56</v>
      </c>
      <c r="L3479" t="s">
        <v>8411</v>
      </c>
      <c r="M3479" s="3" t="str">
        <f>HYPERLINK("..\..\Imagery\ScannedPhotos\1986\SN86-361.jpg")</f>
        <v>..\..\Imagery\ScannedPhotos\1986\SN86-361.jpg</v>
      </c>
    </row>
    <row r="3480" spans="1:13" x14ac:dyDescent="0.25">
      <c r="A3480" t="s">
        <v>8412</v>
      </c>
      <c r="B3480">
        <v>575609</v>
      </c>
      <c r="C3480">
        <v>5844782</v>
      </c>
      <c r="D3480">
        <v>21</v>
      </c>
      <c r="E3480" t="s">
        <v>15</v>
      </c>
      <c r="F3480" t="s">
        <v>8413</v>
      </c>
      <c r="G3480">
        <v>3</v>
      </c>
      <c r="H3480" t="s">
        <v>1750</v>
      </c>
      <c r="I3480" t="s">
        <v>375</v>
      </c>
      <c r="J3480" t="s">
        <v>1751</v>
      </c>
      <c r="K3480" t="s">
        <v>56</v>
      </c>
      <c r="L3480" t="s">
        <v>8414</v>
      </c>
      <c r="M3480" s="3" t="str">
        <f>HYPERLINK("..\..\Imagery\ScannedPhotos\1986\SN86-362.2.jpg")</f>
        <v>..\..\Imagery\ScannedPhotos\1986\SN86-362.2.jpg</v>
      </c>
    </row>
    <row r="3481" spans="1:13" x14ac:dyDescent="0.25">
      <c r="A3481" t="s">
        <v>8412</v>
      </c>
      <c r="B3481">
        <v>575609</v>
      </c>
      <c r="C3481">
        <v>5844782</v>
      </c>
      <c r="D3481">
        <v>21</v>
      </c>
      <c r="E3481" t="s">
        <v>15</v>
      </c>
      <c r="F3481" t="s">
        <v>8415</v>
      </c>
      <c r="G3481">
        <v>3</v>
      </c>
      <c r="H3481" t="s">
        <v>1750</v>
      </c>
      <c r="I3481" t="s">
        <v>94</v>
      </c>
      <c r="J3481" t="s">
        <v>1751</v>
      </c>
      <c r="K3481" t="s">
        <v>56</v>
      </c>
      <c r="L3481" t="s">
        <v>8414</v>
      </c>
      <c r="M3481" s="3" t="str">
        <f>HYPERLINK("..\..\Imagery\ScannedPhotos\1986\SN86-362.3.jpg")</f>
        <v>..\..\Imagery\ScannedPhotos\1986\SN86-362.3.jpg</v>
      </c>
    </row>
    <row r="3482" spans="1:13" x14ac:dyDescent="0.25">
      <c r="A3482" t="s">
        <v>8412</v>
      </c>
      <c r="B3482">
        <v>575609</v>
      </c>
      <c r="C3482">
        <v>5844782</v>
      </c>
      <c r="D3482">
        <v>21</v>
      </c>
      <c r="E3482" t="s">
        <v>15</v>
      </c>
      <c r="F3482" t="s">
        <v>8416</v>
      </c>
      <c r="G3482">
        <v>3</v>
      </c>
      <c r="H3482" t="s">
        <v>1750</v>
      </c>
      <c r="I3482" t="s">
        <v>85</v>
      </c>
      <c r="J3482" t="s">
        <v>1751</v>
      </c>
      <c r="K3482" t="s">
        <v>56</v>
      </c>
      <c r="L3482" t="s">
        <v>8414</v>
      </c>
      <c r="M3482" s="3" t="str">
        <f>HYPERLINK("..\..\Imagery\ScannedPhotos\1986\SN86-362.1.jpg")</f>
        <v>..\..\Imagery\ScannedPhotos\1986\SN86-362.1.jpg</v>
      </c>
    </row>
    <row r="3483" spans="1:13" x14ac:dyDescent="0.25">
      <c r="A3483" t="s">
        <v>8417</v>
      </c>
      <c r="B3483">
        <v>576598</v>
      </c>
      <c r="C3483">
        <v>5844130</v>
      </c>
      <c r="D3483">
        <v>21</v>
      </c>
      <c r="E3483" t="s">
        <v>15</v>
      </c>
      <c r="F3483" t="s">
        <v>8418</v>
      </c>
      <c r="G3483">
        <v>1</v>
      </c>
      <c r="H3483" t="s">
        <v>2084</v>
      </c>
      <c r="I3483" t="s">
        <v>52</v>
      </c>
      <c r="J3483" t="s">
        <v>1014</v>
      </c>
      <c r="K3483" t="s">
        <v>56</v>
      </c>
      <c r="L3483" t="s">
        <v>8419</v>
      </c>
      <c r="M3483" s="3" t="str">
        <f>HYPERLINK("..\..\Imagery\ScannedPhotos\1986\SN86-365.jpg")</f>
        <v>..\..\Imagery\ScannedPhotos\1986\SN86-365.jpg</v>
      </c>
    </row>
    <row r="3484" spans="1:13" x14ac:dyDescent="0.25">
      <c r="A3484" t="s">
        <v>3250</v>
      </c>
      <c r="B3484">
        <v>580388</v>
      </c>
      <c r="C3484">
        <v>5833023</v>
      </c>
      <c r="D3484">
        <v>21</v>
      </c>
      <c r="E3484" t="s">
        <v>15</v>
      </c>
      <c r="F3484" t="s">
        <v>8420</v>
      </c>
      <c r="G3484">
        <v>2</v>
      </c>
      <c r="H3484" t="s">
        <v>3252</v>
      </c>
      <c r="I3484" t="s">
        <v>281</v>
      </c>
      <c r="J3484" t="s">
        <v>100</v>
      </c>
      <c r="K3484" t="s">
        <v>20</v>
      </c>
      <c r="L3484" t="s">
        <v>8421</v>
      </c>
      <c r="M3484" s="3" t="str">
        <f>HYPERLINK("..\..\Imagery\ScannedPhotos\1986\SN86-377.1.jpg")</f>
        <v>..\..\Imagery\ScannedPhotos\1986\SN86-377.1.jpg</v>
      </c>
    </row>
    <row r="3485" spans="1:13" x14ac:dyDescent="0.25">
      <c r="A3485" t="s">
        <v>8354</v>
      </c>
      <c r="B3485">
        <v>579039</v>
      </c>
      <c r="C3485">
        <v>5852779</v>
      </c>
      <c r="D3485">
        <v>21</v>
      </c>
      <c r="E3485" t="s">
        <v>15</v>
      </c>
      <c r="F3485" t="s">
        <v>8422</v>
      </c>
      <c r="G3485">
        <v>3</v>
      </c>
      <c r="H3485" t="s">
        <v>2945</v>
      </c>
      <c r="I3485" t="s">
        <v>360</v>
      </c>
      <c r="J3485" t="s">
        <v>300</v>
      </c>
      <c r="K3485" t="s">
        <v>20</v>
      </c>
      <c r="L3485" t="s">
        <v>8356</v>
      </c>
      <c r="M3485" s="3" t="str">
        <f>HYPERLINK("..\..\Imagery\ScannedPhotos\1986\CG86-523.1.jpg")</f>
        <v>..\..\Imagery\ScannedPhotos\1986\CG86-523.1.jpg</v>
      </c>
    </row>
    <row r="3486" spans="1:13" x14ac:dyDescent="0.25">
      <c r="A3486" t="s">
        <v>8423</v>
      </c>
      <c r="B3486">
        <v>491011</v>
      </c>
      <c r="C3486">
        <v>5853014</v>
      </c>
      <c r="D3486">
        <v>21</v>
      </c>
      <c r="E3486" t="s">
        <v>15</v>
      </c>
      <c r="F3486" t="s">
        <v>8424</v>
      </c>
      <c r="G3486">
        <v>1</v>
      </c>
      <c r="H3486" t="s">
        <v>849</v>
      </c>
      <c r="I3486" t="s">
        <v>360</v>
      </c>
      <c r="J3486" t="s">
        <v>850</v>
      </c>
      <c r="K3486" t="s">
        <v>56</v>
      </c>
      <c r="L3486" t="s">
        <v>8425</v>
      </c>
      <c r="M3486" s="3" t="str">
        <f>HYPERLINK("..\..\Imagery\ScannedPhotos\1991\VN91-185.jpg")</f>
        <v>..\..\Imagery\ScannedPhotos\1991\VN91-185.jpg</v>
      </c>
    </row>
    <row r="3487" spans="1:13" x14ac:dyDescent="0.25">
      <c r="A3487" t="s">
        <v>709</v>
      </c>
      <c r="B3487">
        <v>480370</v>
      </c>
      <c r="C3487">
        <v>6051132</v>
      </c>
      <c r="D3487">
        <v>21</v>
      </c>
      <c r="E3487" t="s">
        <v>15</v>
      </c>
      <c r="F3487" t="s">
        <v>8426</v>
      </c>
      <c r="G3487">
        <v>4</v>
      </c>
      <c r="H3487" t="s">
        <v>696</v>
      </c>
      <c r="I3487" t="s">
        <v>65</v>
      </c>
      <c r="J3487" t="s">
        <v>355</v>
      </c>
      <c r="K3487" t="s">
        <v>20</v>
      </c>
      <c r="L3487" t="s">
        <v>8427</v>
      </c>
      <c r="M3487" s="3" t="str">
        <f>HYPERLINK("..\..\Imagery\ScannedPhotos\1979\CG79-288.4.jpg")</f>
        <v>..\..\Imagery\ScannedPhotos\1979\CG79-288.4.jpg</v>
      </c>
    </row>
    <row r="3488" spans="1:13" x14ac:dyDescent="0.25">
      <c r="A3488" t="s">
        <v>8428</v>
      </c>
      <c r="B3488">
        <v>480418</v>
      </c>
      <c r="C3488">
        <v>6047604</v>
      </c>
      <c r="D3488">
        <v>21</v>
      </c>
      <c r="E3488" t="s">
        <v>15</v>
      </c>
      <c r="F3488" t="s">
        <v>8429</v>
      </c>
      <c r="G3488">
        <v>1</v>
      </c>
      <c r="H3488" t="s">
        <v>700</v>
      </c>
      <c r="I3488" t="s">
        <v>137</v>
      </c>
      <c r="J3488" t="s">
        <v>210</v>
      </c>
      <c r="K3488" t="s">
        <v>20</v>
      </c>
      <c r="L3488" t="s">
        <v>8430</v>
      </c>
      <c r="M3488" s="3" t="str">
        <f>HYPERLINK("..\..\Imagery\ScannedPhotos\1979\CG79-303.jpg")</f>
        <v>..\..\Imagery\ScannedPhotos\1979\CG79-303.jpg</v>
      </c>
    </row>
    <row r="3489" spans="1:13" x14ac:dyDescent="0.25">
      <c r="A3489" t="s">
        <v>8431</v>
      </c>
      <c r="B3489">
        <v>487830</v>
      </c>
      <c r="C3489">
        <v>6049144</v>
      </c>
      <c r="D3489">
        <v>21</v>
      </c>
      <c r="E3489" t="s">
        <v>15</v>
      </c>
      <c r="F3489" t="s">
        <v>8432</v>
      </c>
      <c r="G3489">
        <v>1</v>
      </c>
      <c r="H3489" t="s">
        <v>700</v>
      </c>
      <c r="I3489" t="s">
        <v>18</v>
      </c>
      <c r="J3489" t="s">
        <v>210</v>
      </c>
      <c r="K3489" t="s">
        <v>20</v>
      </c>
      <c r="L3489" t="s">
        <v>8433</v>
      </c>
      <c r="M3489" s="3" t="str">
        <f>HYPERLINK("..\..\Imagery\ScannedPhotos\1979\CG79-306.jpg")</f>
        <v>..\..\Imagery\ScannedPhotos\1979\CG79-306.jpg</v>
      </c>
    </row>
    <row r="3490" spans="1:13" x14ac:dyDescent="0.25">
      <c r="A3490" t="s">
        <v>8434</v>
      </c>
      <c r="B3490">
        <v>511809</v>
      </c>
      <c r="C3490">
        <v>5932418</v>
      </c>
      <c r="D3490">
        <v>21</v>
      </c>
      <c r="E3490" t="s">
        <v>15</v>
      </c>
      <c r="F3490" t="s">
        <v>8435</v>
      </c>
      <c r="G3490">
        <v>2</v>
      </c>
      <c r="H3490" t="s">
        <v>3158</v>
      </c>
      <c r="I3490" t="s">
        <v>647</v>
      </c>
      <c r="J3490" t="s">
        <v>48</v>
      </c>
      <c r="K3490" t="s">
        <v>20</v>
      </c>
      <c r="L3490" t="s">
        <v>8436</v>
      </c>
      <c r="M3490" s="3" t="str">
        <f>HYPERLINK("..\..\Imagery\ScannedPhotos\1981\VO81-293.2.jpg")</f>
        <v>..\..\Imagery\ScannedPhotos\1981\VO81-293.2.jpg</v>
      </c>
    </row>
    <row r="3491" spans="1:13" x14ac:dyDescent="0.25">
      <c r="A3491" t="s">
        <v>8434</v>
      </c>
      <c r="B3491">
        <v>511809</v>
      </c>
      <c r="C3491">
        <v>5932418</v>
      </c>
      <c r="D3491">
        <v>21</v>
      </c>
      <c r="E3491" t="s">
        <v>15</v>
      </c>
      <c r="F3491" t="s">
        <v>8437</v>
      </c>
      <c r="G3491">
        <v>2</v>
      </c>
      <c r="H3491" t="s">
        <v>3158</v>
      </c>
      <c r="I3491" t="s">
        <v>360</v>
      </c>
      <c r="J3491" t="s">
        <v>48</v>
      </c>
      <c r="K3491" t="s">
        <v>20</v>
      </c>
      <c r="L3491" t="s">
        <v>8436</v>
      </c>
      <c r="M3491" s="3" t="str">
        <f>HYPERLINK("..\..\Imagery\ScannedPhotos\1981\VO81-293.1.jpg")</f>
        <v>..\..\Imagery\ScannedPhotos\1981\VO81-293.1.jpg</v>
      </c>
    </row>
    <row r="3492" spans="1:13" x14ac:dyDescent="0.25">
      <c r="A3492" t="s">
        <v>7152</v>
      </c>
      <c r="B3492">
        <v>536009</v>
      </c>
      <c r="C3492">
        <v>5941069</v>
      </c>
      <c r="D3492">
        <v>21</v>
      </c>
      <c r="E3492" t="s">
        <v>15</v>
      </c>
      <c r="F3492" t="s">
        <v>8438</v>
      </c>
      <c r="G3492">
        <v>2</v>
      </c>
      <c r="H3492" t="s">
        <v>817</v>
      </c>
      <c r="I3492" t="s">
        <v>94</v>
      </c>
      <c r="J3492" t="s">
        <v>48</v>
      </c>
      <c r="K3492" t="s">
        <v>20</v>
      </c>
      <c r="L3492" t="s">
        <v>4769</v>
      </c>
      <c r="M3492" s="3" t="str">
        <f>HYPERLINK("..\..\Imagery\ScannedPhotos\1981\VO81-568.1.jpg")</f>
        <v>..\..\Imagery\ScannedPhotos\1981\VO81-568.1.jpg</v>
      </c>
    </row>
    <row r="3493" spans="1:13" x14ac:dyDescent="0.25">
      <c r="A3493" t="s">
        <v>4767</v>
      </c>
      <c r="B3493">
        <v>536417</v>
      </c>
      <c r="C3493">
        <v>5941109</v>
      </c>
      <c r="D3493">
        <v>21</v>
      </c>
      <c r="E3493" t="s">
        <v>15</v>
      </c>
      <c r="F3493" t="s">
        <v>8439</v>
      </c>
      <c r="G3493">
        <v>3</v>
      </c>
      <c r="H3493" t="s">
        <v>817</v>
      </c>
      <c r="I3493" t="s">
        <v>386</v>
      </c>
      <c r="J3493" t="s">
        <v>48</v>
      </c>
      <c r="K3493" t="s">
        <v>20</v>
      </c>
      <c r="L3493" t="s">
        <v>4769</v>
      </c>
      <c r="M3493" s="3" t="str">
        <f>HYPERLINK("..\..\Imagery\ScannedPhotos\1981\VO81-569.1.jpg")</f>
        <v>..\..\Imagery\ScannedPhotos\1981\VO81-569.1.jpg</v>
      </c>
    </row>
    <row r="3494" spans="1:13" x14ac:dyDescent="0.25">
      <c r="A3494" t="s">
        <v>4767</v>
      </c>
      <c r="B3494">
        <v>536417</v>
      </c>
      <c r="C3494">
        <v>5941109</v>
      </c>
      <c r="D3494">
        <v>21</v>
      </c>
      <c r="E3494" t="s">
        <v>15</v>
      </c>
      <c r="F3494" t="s">
        <v>8440</v>
      </c>
      <c r="G3494">
        <v>3</v>
      </c>
      <c r="H3494" t="s">
        <v>817</v>
      </c>
      <c r="I3494" t="s">
        <v>222</v>
      </c>
      <c r="J3494" t="s">
        <v>48</v>
      </c>
      <c r="K3494" t="s">
        <v>20</v>
      </c>
      <c r="L3494" t="s">
        <v>7154</v>
      </c>
      <c r="M3494" s="3" t="str">
        <f>HYPERLINK("..\..\Imagery\ScannedPhotos\1981\VO81-569.3.jpg")</f>
        <v>..\..\Imagery\ScannedPhotos\1981\VO81-569.3.jpg</v>
      </c>
    </row>
    <row r="3495" spans="1:13" x14ac:dyDescent="0.25">
      <c r="A3495" t="s">
        <v>8441</v>
      </c>
      <c r="B3495">
        <v>586894</v>
      </c>
      <c r="C3495">
        <v>5783866</v>
      </c>
      <c r="D3495">
        <v>21</v>
      </c>
      <c r="E3495" t="s">
        <v>15</v>
      </c>
      <c r="F3495" t="s">
        <v>8442</v>
      </c>
      <c r="G3495">
        <v>1</v>
      </c>
      <c r="H3495" t="s">
        <v>1688</v>
      </c>
      <c r="I3495" t="s">
        <v>65</v>
      </c>
      <c r="J3495" t="s">
        <v>1052</v>
      </c>
      <c r="K3495" t="s">
        <v>56</v>
      </c>
      <c r="L3495" t="s">
        <v>8443</v>
      </c>
      <c r="M3495" s="3" t="str">
        <f>HYPERLINK("..\..\Imagery\ScannedPhotos\1987\VN87-431.jpg")</f>
        <v>..\..\Imagery\ScannedPhotos\1987\VN87-431.jpg</v>
      </c>
    </row>
    <row r="3496" spans="1:13" x14ac:dyDescent="0.25">
      <c r="A3496" t="s">
        <v>3936</v>
      </c>
      <c r="B3496">
        <v>525373</v>
      </c>
      <c r="C3496">
        <v>5742106</v>
      </c>
      <c r="D3496">
        <v>21</v>
      </c>
      <c r="E3496" t="s">
        <v>15</v>
      </c>
      <c r="F3496" t="s">
        <v>8444</v>
      </c>
      <c r="G3496">
        <v>2</v>
      </c>
      <c r="H3496" t="s">
        <v>1732</v>
      </c>
      <c r="I3496" t="s">
        <v>65</v>
      </c>
      <c r="J3496" t="s">
        <v>1733</v>
      </c>
      <c r="K3496" t="s">
        <v>20</v>
      </c>
      <c r="L3496" t="s">
        <v>3938</v>
      </c>
      <c r="M3496" s="3" t="str">
        <f>HYPERLINK("..\..\Imagery\ScannedPhotos\1993\CG93-695.1.jpg")</f>
        <v>..\..\Imagery\ScannedPhotos\1993\CG93-695.1.jpg</v>
      </c>
    </row>
    <row r="3497" spans="1:13" x14ac:dyDescent="0.25">
      <c r="A3497" t="s">
        <v>7891</v>
      </c>
      <c r="B3497">
        <v>525345</v>
      </c>
      <c r="C3497">
        <v>5742706</v>
      </c>
      <c r="D3497">
        <v>21</v>
      </c>
      <c r="E3497" t="s">
        <v>15</v>
      </c>
      <c r="F3497" t="s">
        <v>8445</v>
      </c>
      <c r="G3497">
        <v>2</v>
      </c>
      <c r="H3497" t="s">
        <v>995</v>
      </c>
      <c r="I3497" t="s">
        <v>79</v>
      </c>
      <c r="J3497" t="s">
        <v>996</v>
      </c>
      <c r="K3497" t="s">
        <v>56</v>
      </c>
      <c r="L3497" t="s">
        <v>8446</v>
      </c>
      <c r="M3497" s="3" t="str">
        <f>HYPERLINK("..\..\Imagery\ScannedPhotos\1993\CG93-697.1.jpg")</f>
        <v>..\..\Imagery\ScannedPhotos\1993\CG93-697.1.jpg</v>
      </c>
    </row>
    <row r="3498" spans="1:13" x14ac:dyDescent="0.25">
      <c r="A3498" t="s">
        <v>8447</v>
      </c>
      <c r="B3498">
        <v>524648</v>
      </c>
      <c r="C3498">
        <v>5720511</v>
      </c>
      <c r="D3498">
        <v>21</v>
      </c>
      <c r="E3498" t="s">
        <v>15</v>
      </c>
      <c r="F3498" t="s">
        <v>8448</v>
      </c>
      <c r="G3498">
        <v>2</v>
      </c>
      <c r="H3498" t="s">
        <v>2418</v>
      </c>
      <c r="I3498" t="s">
        <v>25</v>
      </c>
      <c r="J3498" t="s">
        <v>570</v>
      </c>
      <c r="K3498" t="s">
        <v>20</v>
      </c>
      <c r="L3498" t="s">
        <v>8449</v>
      </c>
      <c r="M3498" s="3" t="str">
        <f>HYPERLINK("..\..\Imagery\ScannedPhotos\1993\VN93-108.1.jpg")</f>
        <v>..\..\Imagery\ScannedPhotos\1993\VN93-108.1.jpg</v>
      </c>
    </row>
    <row r="3499" spans="1:13" x14ac:dyDescent="0.25">
      <c r="A3499" t="s">
        <v>8447</v>
      </c>
      <c r="B3499">
        <v>524648</v>
      </c>
      <c r="C3499">
        <v>5720511</v>
      </c>
      <c r="D3499">
        <v>21</v>
      </c>
      <c r="E3499" t="s">
        <v>15</v>
      </c>
      <c r="F3499" t="s">
        <v>8450</v>
      </c>
      <c r="G3499">
        <v>2</v>
      </c>
      <c r="H3499" t="s">
        <v>2418</v>
      </c>
      <c r="I3499" t="s">
        <v>360</v>
      </c>
      <c r="J3499" t="s">
        <v>570</v>
      </c>
      <c r="K3499" t="s">
        <v>20</v>
      </c>
      <c r="L3499" t="s">
        <v>8451</v>
      </c>
      <c r="M3499" s="3" t="str">
        <f>HYPERLINK("..\..\Imagery\ScannedPhotos\1993\VN93-108.2.jpg")</f>
        <v>..\..\Imagery\ScannedPhotos\1993\VN93-108.2.jpg</v>
      </c>
    </row>
    <row r="3500" spans="1:13" x14ac:dyDescent="0.25">
      <c r="A3500" t="s">
        <v>3410</v>
      </c>
      <c r="B3500">
        <v>578401</v>
      </c>
      <c r="C3500">
        <v>5883948</v>
      </c>
      <c r="D3500">
        <v>21</v>
      </c>
      <c r="E3500" t="s">
        <v>15</v>
      </c>
      <c r="F3500" t="s">
        <v>8452</v>
      </c>
      <c r="G3500">
        <v>3</v>
      </c>
      <c r="H3500" t="s">
        <v>1013</v>
      </c>
      <c r="I3500" t="s">
        <v>52</v>
      </c>
      <c r="J3500" t="s">
        <v>1014</v>
      </c>
      <c r="K3500" t="s">
        <v>20</v>
      </c>
      <c r="L3500" t="s">
        <v>3412</v>
      </c>
      <c r="M3500" s="3" t="str">
        <f>HYPERLINK("..\..\Imagery\ScannedPhotos\1985\CG85-481.2.jpg")</f>
        <v>..\..\Imagery\ScannedPhotos\1985\CG85-481.2.jpg</v>
      </c>
    </row>
    <row r="3501" spans="1:13" x14ac:dyDescent="0.25">
      <c r="A3501" t="s">
        <v>3410</v>
      </c>
      <c r="B3501">
        <v>578401</v>
      </c>
      <c r="C3501">
        <v>5883948</v>
      </c>
      <c r="D3501">
        <v>21</v>
      </c>
      <c r="E3501" t="s">
        <v>15</v>
      </c>
      <c r="F3501" t="s">
        <v>8453</v>
      </c>
      <c r="G3501">
        <v>3</v>
      </c>
      <c r="H3501" t="s">
        <v>1013</v>
      </c>
      <c r="I3501" t="s">
        <v>65</v>
      </c>
      <c r="J3501" t="s">
        <v>1014</v>
      </c>
      <c r="K3501" t="s">
        <v>20</v>
      </c>
      <c r="L3501" t="s">
        <v>8454</v>
      </c>
      <c r="M3501" s="3" t="str">
        <f>HYPERLINK("..\..\Imagery\ScannedPhotos\1985\CG85-481.3.jpg")</f>
        <v>..\..\Imagery\ScannedPhotos\1985\CG85-481.3.jpg</v>
      </c>
    </row>
    <row r="3502" spans="1:13" x14ac:dyDescent="0.25">
      <c r="A3502" t="s">
        <v>990</v>
      </c>
      <c r="B3502">
        <v>386993</v>
      </c>
      <c r="C3502">
        <v>5927128</v>
      </c>
      <c r="D3502">
        <v>21</v>
      </c>
      <c r="E3502" t="s">
        <v>15</v>
      </c>
      <c r="F3502" t="s">
        <v>8455</v>
      </c>
      <c r="G3502">
        <v>2</v>
      </c>
      <c r="H3502" t="s">
        <v>562</v>
      </c>
      <c r="I3502" t="s">
        <v>214</v>
      </c>
      <c r="J3502" t="s">
        <v>563</v>
      </c>
      <c r="K3502" t="s">
        <v>56</v>
      </c>
      <c r="L3502" t="s">
        <v>8456</v>
      </c>
      <c r="M3502" s="3" t="str">
        <f>HYPERLINK("..\..\Imagery\ScannedPhotos\1995\VN95-109.2.jpg")</f>
        <v>..\..\Imagery\ScannedPhotos\1995\VN95-109.2.jpg</v>
      </c>
    </row>
    <row r="3503" spans="1:13" x14ac:dyDescent="0.25">
      <c r="A3503" t="s">
        <v>8457</v>
      </c>
      <c r="B3503">
        <v>387172</v>
      </c>
      <c r="C3503">
        <v>5927070</v>
      </c>
      <c r="D3503">
        <v>21</v>
      </c>
      <c r="E3503" t="s">
        <v>15</v>
      </c>
      <c r="F3503" t="s">
        <v>8458</v>
      </c>
      <c r="G3503">
        <v>2</v>
      </c>
      <c r="H3503" t="s">
        <v>562</v>
      </c>
      <c r="I3503" t="s">
        <v>222</v>
      </c>
      <c r="J3503" t="s">
        <v>563</v>
      </c>
      <c r="K3503" t="s">
        <v>20</v>
      </c>
      <c r="L3503" t="s">
        <v>8459</v>
      </c>
      <c r="M3503" s="3" t="str">
        <f>HYPERLINK("..\..\Imagery\ScannedPhotos\1995\VN95-110.1.jpg")</f>
        <v>..\..\Imagery\ScannedPhotos\1995\VN95-110.1.jpg</v>
      </c>
    </row>
    <row r="3504" spans="1:13" x14ac:dyDescent="0.25">
      <c r="A3504" t="s">
        <v>8457</v>
      </c>
      <c r="B3504">
        <v>387172</v>
      </c>
      <c r="C3504">
        <v>5927070</v>
      </c>
      <c r="D3504">
        <v>21</v>
      </c>
      <c r="E3504" t="s">
        <v>15</v>
      </c>
      <c r="F3504" t="s">
        <v>8460</v>
      </c>
      <c r="G3504">
        <v>2</v>
      </c>
      <c r="H3504" t="s">
        <v>562</v>
      </c>
      <c r="I3504" t="s">
        <v>418</v>
      </c>
      <c r="J3504" t="s">
        <v>563</v>
      </c>
      <c r="K3504" t="s">
        <v>20</v>
      </c>
      <c r="L3504" t="s">
        <v>8459</v>
      </c>
      <c r="M3504" s="3" t="str">
        <f>HYPERLINK("..\..\Imagery\ScannedPhotos\1995\VN95-110.2.jpg")</f>
        <v>..\..\Imagery\ScannedPhotos\1995\VN95-110.2.jpg</v>
      </c>
    </row>
    <row r="3505" spans="1:13" x14ac:dyDescent="0.25">
      <c r="A3505" t="s">
        <v>8461</v>
      </c>
      <c r="B3505">
        <v>490429</v>
      </c>
      <c r="C3505">
        <v>5940888</v>
      </c>
      <c r="D3505">
        <v>21</v>
      </c>
      <c r="E3505" t="s">
        <v>15</v>
      </c>
      <c r="F3505" t="s">
        <v>8462</v>
      </c>
      <c r="G3505">
        <v>1</v>
      </c>
      <c r="H3505" t="s">
        <v>46</v>
      </c>
      <c r="I3505" t="s">
        <v>25</v>
      </c>
      <c r="J3505" t="s">
        <v>48</v>
      </c>
      <c r="K3505" t="s">
        <v>20</v>
      </c>
      <c r="L3505" t="s">
        <v>8463</v>
      </c>
      <c r="M3505" s="3" t="str">
        <f>HYPERLINK("..\..\Imagery\ScannedPhotos\1981\GF81-082.jpg")</f>
        <v>..\..\Imagery\ScannedPhotos\1981\GF81-082.jpg</v>
      </c>
    </row>
    <row r="3506" spans="1:13" x14ac:dyDescent="0.25">
      <c r="A3506" t="s">
        <v>8464</v>
      </c>
      <c r="B3506">
        <v>487511</v>
      </c>
      <c r="C3506">
        <v>5929245</v>
      </c>
      <c r="D3506">
        <v>21</v>
      </c>
      <c r="E3506" t="s">
        <v>15</v>
      </c>
      <c r="F3506" t="s">
        <v>8465</v>
      </c>
      <c r="G3506">
        <v>3</v>
      </c>
      <c r="H3506" t="s">
        <v>2246</v>
      </c>
      <c r="I3506" t="s">
        <v>41</v>
      </c>
      <c r="J3506" t="s">
        <v>2247</v>
      </c>
      <c r="K3506" t="s">
        <v>20</v>
      </c>
      <c r="L3506" t="s">
        <v>8466</v>
      </c>
      <c r="M3506" s="3" t="str">
        <f>HYPERLINK("..\..\Imagery\ScannedPhotos\1981\GF81-105.3.jpg")</f>
        <v>..\..\Imagery\ScannedPhotos\1981\GF81-105.3.jpg</v>
      </c>
    </row>
    <row r="3507" spans="1:13" x14ac:dyDescent="0.25">
      <c r="A3507" t="s">
        <v>8464</v>
      </c>
      <c r="B3507">
        <v>487511</v>
      </c>
      <c r="C3507">
        <v>5929245</v>
      </c>
      <c r="D3507">
        <v>21</v>
      </c>
      <c r="E3507" t="s">
        <v>15</v>
      </c>
      <c r="F3507" t="s">
        <v>8467</v>
      </c>
      <c r="G3507">
        <v>3</v>
      </c>
      <c r="H3507" t="s">
        <v>2246</v>
      </c>
      <c r="I3507" t="s">
        <v>74</v>
      </c>
      <c r="J3507" t="s">
        <v>2247</v>
      </c>
      <c r="K3507" t="s">
        <v>20</v>
      </c>
      <c r="L3507" t="s">
        <v>8466</v>
      </c>
      <c r="M3507" s="3" t="str">
        <f>HYPERLINK("..\..\Imagery\ScannedPhotos\1981\GF81-105.2.jpg")</f>
        <v>..\..\Imagery\ScannedPhotos\1981\GF81-105.2.jpg</v>
      </c>
    </row>
    <row r="3508" spans="1:13" x14ac:dyDescent="0.25">
      <c r="A3508" t="s">
        <v>8468</v>
      </c>
      <c r="B3508">
        <v>487251</v>
      </c>
      <c r="C3508">
        <v>5928899</v>
      </c>
      <c r="D3508">
        <v>21</v>
      </c>
      <c r="E3508" t="s">
        <v>15</v>
      </c>
      <c r="F3508" t="s">
        <v>8469</v>
      </c>
      <c r="G3508">
        <v>2</v>
      </c>
      <c r="H3508" t="s">
        <v>46</v>
      </c>
      <c r="I3508" t="s">
        <v>30</v>
      </c>
      <c r="J3508" t="s">
        <v>48</v>
      </c>
      <c r="K3508" t="s">
        <v>20</v>
      </c>
      <c r="L3508" t="s">
        <v>8466</v>
      </c>
      <c r="M3508" s="3" t="str">
        <f>HYPERLINK("..\..\Imagery\ScannedPhotos\1981\GF81-106.1.jpg")</f>
        <v>..\..\Imagery\ScannedPhotos\1981\GF81-106.1.jpg</v>
      </c>
    </row>
    <row r="3509" spans="1:13" x14ac:dyDescent="0.25">
      <c r="A3509" t="s">
        <v>8468</v>
      </c>
      <c r="B3509">
        <v>487251</v>
      </c>
      <c r="C3509">
        <v>5928899</v>
      </c>
      <c r="D3509">
        <v>21</v>
      </c>
      <c r="E3509" t="s">
        <v>15</v>
      </c>
      <c r="F3509" t="s">
        <v>8470</v>
      </c>
      <c r="G3509">
        <v>2</v>
      </c>
      <c r="H3509" t="s">
        <v>46</v>
      </c>
      <c r="I3509" t="s">
        <v>114</v>
      </c>
      <c r="J3509" t="s">
        <v>48</v>
      </c>
      <c r="K3509" t="s">
        <v>20</v>
      </c>
      <c r="L3509" t="s">
        <v>8466</v>
      </c>
      <c r="M3509" s="3" t="str">
        <f>HYPERLINK("..\..\Imagery\ScannedPhotos\1981\GF81-106.2.jpg")</f>
        <v>..\..\Imagery\ScannedPhotos\1981\GF81-106.2.jpg</v>
      </c>
    </row>
    <row r="3510" spans="1:13" x14ac:dyDescent="0.25">
      <c r="A3510" t="s">
        <v>8471</v>
      </c>
      <c r="B3510">
        <v>401768</v>
      </c>
      <c r="C3510">
        <v>5932577</v>
      </c>
      <c r="D3510">
        <v>21</v>
      </c>
      <c r="E3510" t="s">
        <v>15</v>
      </c>
      <c r="F3510" t="s">
        <v>8472</v>
      </c>
      <c r="G3510">
        <v>1</v>
      </c>
      <c r="H3510" t="s">
        <v>46</v>
      </c>
      <c r="I3510" t="s">
        <v>122</v>
      </c>
      <c r="J3510" t="s">
        <v>48</v>
      </c>
      <c r="K3510" t="s">
        <v>20</v>
      </c>
      <c r="L3510" t="s">
        <v>8473</v>
      </c>
      <c r="M3510" s="3" t="str">
        <f>HYPERLINK("..\..\Imagery\ScannedPhotos\1981\GF81-145.jpg")</f>
        <v>..\..\Imagery\ScannedPhotos\1981\GF81-145.jpg</v>
      </c>
    </row>
    <row r="3511" spans="1:13" x14ac:dyDescent="0.25">
      <c r="A3511" t="s">
        <v>8474</v>
      </c>
      <c r="B3511">
        <v>399737</v>
      </c>
      <c r="C3511">
        <v>5929675</v>
      </c>
      <c r="D3511">
        <v>21</v>
      </c>
      <c r="E3511" t="s">
        <v>15</v>
      </c>
      <c r="F3511" t="s">
        <v>8475</v>
      </c>
      <c r="G3511">
        <v>1</v>
      </c>
      <c r="H3511" t="s">
        <v>46</v>
      </c>
      <c r="I3511" t="s">
        <v>126</v>
      </c>
      <c r="J3511" t="s">
        <v>48</v>
      </c>
      <c r="K3511" t="s">
        <v>20</v>
      </c>
      <c r="L3511" t="s">
        <v>8473</v>
      </c>
      <c r="M3511" s="3" t="str">
        <f>HYPERLINK("..\..\Imagery\ScannedPhotos\1981\GF81-151.jpg")</f>
        <v>..\..\Imagery\ScannedPhotos\1981\GF81-151.jpg</v>
      </c>
    </row>
    <row r="3512" spans="1:13" x14ac:dyDescent="0.25">
      <c r="A3512" t="s">
        <v>8476</v>
      </c>
      <c r="B3512">
        <v>398388</v>
      </c>
      <c r="C3512">
        <v>5934723</v>
      </c>
      <c r="D3512">
        <v>21</v>
      </c>
      <c r="E3512" t="s">
        <v>15</v>
      </c>
      <c r="F3512" t="s">
        <v>8477</v>
      </c>
      <c r="G3512">
        <v>1</v>
      </c>
      <c r="H3512" t="s">
        <v>46</v>
      </c>
      <c r="I3512" t="s">
        <v>108</v>
      </c>
      <c r="J3512" t="s">
        <v>48</v>
      </c>
      <c r="K3512" t="s">
        <v>20</v>
      </c>
      <c r="L3512" t="s">
        <v>8473</v>
      </c>
      <c r="M3512" s="3" t="str">
        <f>HYPERLINK("..\..\Imagery\ScannedPhotos\1981\GF81-162.jpg")</f>
        <v>..\..\Imagery\ScannedPhotos\1981\GF81-162.jpg</v>
      </c>
    </row>
    <row r="3513" spans="1:13" x14ac:dyDescent="0.25">
      <c r="A3513" t="s">
        <v>8478</v>
      </c>
      <c r="B3513">
        <v>400617</v>
      </c>
      <c r="C3513">
        <v>5935330</v>
      </c>
      <c r="D3513">
        <v>21</v>
      </c>
      <c r="E3513" t="s">
        <v>15</v>
      </c>
      <c r="F3513" t="s">
        <v>8479</v>
      </c>
      <c r="G3513">
        <v>1</v>
      </c>
      <c r="H3513" t="s">
        <v>46</v>
      </c>
      <c r="I3513" t="s">
        <v>132</v>
      </c>
      <c r="J3513" t="s">
        <v>48</v>
      </c>
      <c r="K3513" t="s">
        <v>20</v>
      </c>
      <c r="L3513" t="s">
        <v>8480</v>
      </c>
      <c r="M3513" s="3" t="str">
        <f>HYPERLINK("..\..\Imagery\ScannedPhotos\1981\GF81-164.jpg")</f>
        <v>..\..\Imagery\ScannedPhotos\1981\GF81-164.jpg</v>
      </c>
    </row>
    <row r="3514" spans="1:13" x14ac:dyDescent="0.25">
      <c r="A3514" t="s">
        <v>4868</v>
      </c>
      <c r="B3514">
        <v>582425</v>
      </c>
      <c r="C3514">
        <v>5887319</v>
      </c>
      <c r="D3514">
        <v>21</v>
      </c>
      <c r="E3514" t="s">
        <v>15</v>
      </c>
      <c r="F3514" t="s">
        <v>8481</v>
      </c>
      <c r="G3514">
        <v>8</v>
      </c>
      <c r="H3514" t="s">
        <v>4870</v>
      </c>
      <c r="I3514" t="s">
        <v>222</v>
      </c>
      <c r="J3514" t="s">
        <v>138</v>
      </c>
      <c r="K3514" t="s">
        <v>20</v>
      </c>
      <c r="L3514" t="s">
        <v>4872</v>
      </c>
      <c r="M3514" s="3" t="str">
        <f>HYPERLINK("..\..\Imagery\ScannedPhotos\1985\GM85-516.7.jpg")</f>
        <v>..\..\Imagery\ScannedPhotos\1985\GM85-516.7.jpg</v>
      </c>
    </row>
    <row r="3515" spans="1:13" x14ac:dyDescent="0.25">
      <c r="A3515" t="s">
        <v>8482</v>
      </c>
      <c r="B3515">
        <v>373175</v>
      </c>
      <c r="C3515">
        <v>5902921</v>
      </c>
      <c r="D3515">
        <v>21</v>
      </c>
      <c r="E3515" t="s">
        <v>15</v>
      </c>
      <c r="F3515" t="s">
        <v>8483</v>
      </c>
      <c r="G3515">
        <v>2</v>
      </c>
      <c r="H3515" t="s">
        <v>1826</v>
      </c>
      <c r="I3515" t="s">
        <v>18</v>
      </c>
      <c r="J3515" t="s">
        <v>557</v>
      </c>
      <c r="K3515" t="s">
        <v>20</v>
      </c>
      <c r="L3515" t="s">
        <v>1045</v>
      </c>
      <c r="M3515" s="3" t="str">
        <f>HYPERLINK("..\..\Imagery\ScannedPhotos\1995\CG95-150.1.jpg")</f>
        <v>..\..\Imagery\ScannedPhotos\1995\CG95-150.1.jpg</v>
      </c>
    </row>
    <row r="3516" spans="1:13" x14ac:dyDescent="0.25">
      <c r="A3516" t="s">
        <v>8484</v>
      </c>
      <c r="B3516">
        <v>371149</v>
      </c>
      <c r="C3516">
        <v>5903034</v>
      </c>
      <c r="D3516">
        <v>21</v>
      </c>
      <c r="E3516" t="s">
        <v>15</v>
      </c>
      <c r="F3516" t="s">
        <v>8485</v>
      </c>
      <c r="G3516">
        <v>2</v>
      </c>
      <c r="H3516" t="s">
        <v>1826</v>
      </c>
      <c r="I3516" t="s">
        <v>69</v>
      </c>
      <c r="J3516" t="s">
        <v>557</v>
      </c>
      <c r="K3516" t="s">
        <v>20</v>
      </c>
      <c r="L3516" t="s">
        <v>8486</v>
      </c>
      <c r="M3516" s="3" t="str">
        <f>HYPERLINK("..\..\Imagery\ScannedPhotos\1995\CG95-152.1.jpg")</f>
        <v>..\..\Imagery\ScannedPhotos\1995\CG95-152.1.jpg</v>
      </c>
    </row>
    <row r="3517" spans="1:13" x14ac:dyDescent="0.25">
      <c r="A3517" t="s">
        <v>8484</v>
      </c>
      <c r="B3517">
        <v>371149</v>
      </c>
      <c r="C3517">
        <v>5903034</v>
      </c>
      <c r="D3517">
        <v>21</v>
      </c>
      <c r="E3517" t="s">
        <v>15</v>
      </c>
      <c r="F3517" t="s">
        <v>8487</v>
      </c>
      <c r="G3517">
        <v>2</v>
      </c>
      <c r="H3517" t="s">
        <v>1826</v>
      </c>
      <c r="I3517" t="s">
        <v>74</v>
      </c>
      <c r="J3517" t="s">
        <v>557</v>
      </c>
      <c r="K3517" t="s">
        <v>20</v>
      </c>
      <c r="L3517" t="s">
        <v>8486</v>
      </c>
      <c r="M3517" s="3" t="str">
        <f>HYPERLINK("..\..\Imagery\ScannedPhotos\1995\CG95-152.2.jpg")</f>
        <v>..\..\Imagery\ScannedPhotos\1995\CG95-152.2.jpg</v>
      </c>
    </row>
    <row r="3518" spans="1:13" x14ac:dyDescent="0.25">
      <c r="A3518" t="s">
        <v>8488</v>
      </c>
      <c r="B3518">
        <v>370583</v>
      </c>
      <c r="C3518">
        <v>5903301</v>
      </c>
      <c r="D3518">
        <v>21</v>
      </c>
      <c r="E3518" t="s">
        <v>15</v>
      </c>
      <c r="F3518" t="s">
        <v>8489</v>
      </c>
      <c r="G3518">
        <v>2</v>
      </c>
      <c r="H3518" t="s">
        <v>1826</v>
      </c>
      <c r="I3518" t="s">
        <v>85</v>
      </c>
      <c r="J3518" t="s">
        <v>557</v>
      </c>
      <c r="K3518" t="s">
        <v>56</v>
      </c>
      <c r="L3518" t="s">
        <v>8490</v>
      </c>
      <c r="M3518" s="3" t="str">
        <f>HYPERLINK("..\..\Imagery\ScannedPhotos\1995\CG95-153.2.jpg")</f>
        <v>..\..\Imagery\ScannedPhotos\1995\CG95-153.2.jpg</v>
      </c>
    </row>
    <row r="3519" spans="1:13" x14ac:dyDescent="0.25">
      <c r="A3519" t="s">
        <v>8488</v>
      </c>
      <c r="B3519">
        <v>370583</v>
      </c>
      <c r="C3519">
        <v>5903301</v>
      </c>
      <c r="D3519">
        <v>21</v>
      </c>
      <c r="E3519" t="s">
        <v>15</v>
      </c>
      <c r="F3519" t="s">
        <v>8491</v>
      </c>
      <c r="G3519">
        <v>2</v>
      </c>
      <c r="H3519" t="s">
        <v>1826</v>
      </c>
      <c r="I3519" t="s">
        <v>41</v>
      </c>
      <c r="J3519" t="s">
        <v>557</v>
      </c>
      <c r="K3519" t="s">
        <v>56</v>
      </c>
      <c r="L3519" t="s">
        <v>8490</v>
      </c>
      <c r="M3519" s="3" t="str">
        <f>HYPERLINK("..\..\Imagery\ScannedPhotos\1995\CG95-153.1.jpg")</f>
        <v>..\..\Imagery\ScannedPhotos\1995\CG95-153.1.jpg</v>
      </c>
    </row>
    <row r="3520" spans="1:13" x14ac:dyDescent="0.25">
      <c r="A3520" t="s">
        <v>8492</v>
      </c>
      <c r="B3520">
        <v>369776</v>
      </c>
      <c r="C3520">
        <v>5904013</v>
      </c>
      <c r="D3520">
        <v>21</v>
      </c>
      <c r="E3520" t="s">
        <v>15</v>
      </c>
      <c r="F3520" t="s">
        <v>8493</v>
      </c>
      <c r="G3520">
        <v>2</v>
      </c>
      <c r="H3520" t="s">
        <v>770</v>
      </c>
      <c r="I3520" t="s">
        <v>25</v>
      </c>
      <c r="J3520" t="s">
        <v>771</v>
      </c>
      <c r="K3520" t="s">
        <v>56</v>
      </c>
      <c r="L3520" t="s">
        <v>6251</v>
      </c>
      <c r="M3520" s="3" t="str">
        <f>HYPERLINK("..\..\Imagery\ScannedPhotos\1995\CG95-154.1.jpg")</f>
        <v>..\..\Imagery\ScannedPhotos\1995\CG95-154.1.jpg</v>
      </c>
    </row>
    <row r="3521" spans="1:14" x14ac:dyDescent="0.25">
      <c r="A3521" t="s">
        <v>8494</v>
      </c>
      <c r="B3521">
        <v>388195</v>
      </c>
      <c r="C3521">
        <v>5911727</v>
      </c>
      <c r="D3521">
        <v>21</v>
      </c>
      <c r="E3521" t="s">
        <v>15</v>
      </c>
      <c r="F3521" t="s">
        <v>8495</v>
      </c>
      <c r="G3521">
        <v>4</v>
      </c>
      <c r="H3521" t="s">
        <v>1826</v>
      </c>
      <c r="I3521" t="s">
        <v>209</v>
      </c>
      <c r="J3521" t="s">
        <v>557</v>
      </c>
      <c r="K3521" t="s">
        <v>20</v>
      </c>
      <c r="L3521" t="s">
        <v>8496</v>
      </c>
      <c r="M3521" s="3" t="str">
        <f>HYPERLINK("..\..\Imagery\ScannedPhotos\1995\CG95-159.3.jpg")</f>
        <v>..\..\Imagery\ScannedPhotos\1995\CG95-159.3.jpg</v>
      </c>
    </row>
    <row r="3522" spans="1:14" x14ac:dyDescent="0.25">
      <c r="A3522" t="s">
        <v>8494</v>
      </c>
      <c r="B3522">
        <v>388195</v>
      </c>
      <c r="C3522">
        <v>5911727</v>
      </c>
      <c r="D3522">
        <v>21</v>
      </c>
      <c r="E3522" t="s">
        <v>15</v>
      </c>
      <c r="F3522" t="s">
        <v>8497</v>
      </c>
      <c r="G3522">
        <v>4</v>
      </c>
      <c r="H3522" t="s">
        <v>1826</v>
      </c>
      <c r="I3522" t="s">
        <v>386</v>
      </c>
      <c r="J3522" t="s">
        <v>557</v>
      </c>
      <c r="K3522" t="s">
        <v>20</v>
      </c>
      <c r="L3522" t="s">
        <v>8496</v>
      </c>
      <c r="M3522" s="3" t="str">
        <f>HYPERLINK("..\..\Imagery\ScannedPhotos\1995\CG95-159.4.jpg")</f>
        <v>..\..\Imagery\ScannedPhotos\1995\CG95-159.4.jpg</v>
      </c>
    </row>
    <row r="3523" spans="1:14" x14ac:dyDescent="0.25">
      <c r="A3523" t="s">
        <v>8494</v>
      </c>
      <c r="B3523">
        <v>388195</v>
      </c>
      <c r="C3523">
        <v>5911727</v>
      </c>
      <c r="D3523">
        <v>21</v>
      </c>
      <c r="E3523" t="s">
        <v>15</v>
      </c>
      <c r="F3523" t="s">
        <v>8498</v>
      </c>
      <c r="G3523">
        <v>4</v>
      </c>
      <c r="H3523" t="s">
        <v>1826</v>
      </c>
      <c r="I3523" t="s">
        <v>94</v>
      </c>
      <c r="J3523" t="s">
        <v>557</v>
      </c>
      <c r="K3523" t="s">
        <v>20</v>
      </c>
      <c r="L3523" t="s">
        <v>8499</v>
      </c>
      <c r="M3523" s="3" t="str">
        <f>HYPERLINK("..\..\Imagery\ScannedPhotos\1995\CG95-159.2.jpg")</f>
        <v>..\..\Imagery\ScannedPhotos\1995\CG95-159.2.jpg</v>
      </c>
    </row>
    <row r="3524" spans="1:14" x14ac:dyDescent="0.25">
      <c r="A3524" t="s">
        <v>8500</v>
      </c>
      <c r="B3524">
        <v>401819</v>
      </c>
      <c r="C3524">
        <v>6072624</v>
      </c>
      <c r="D3524">
        <v>21</v>
      </c>
      <c r="E3524" t="s">
        <v>15</v>
      </c>
      <c r="F3524" t="s">
        <v>8501</v>
      </c>
      <c r="G3524">
        <v>2</v>
      </c>
      <c r="H3524" t="s">
        <v>1872</v>
      </c>
      <c r="I3524" t="s">
        <v>94</v>
      </c>
      <c r="J3524" t="s">
        <v>1873</v>
      </c>
      <c r="K3524" t="s">
        <v>109</v>
      </c>
      <c r="L3524" t="s">
        <v>8502</v>
      </c>
      <c r="M3524" s="3" t="str">
        <f>HYPERLINK("..\..\Imagery\ScannedPhotos\1979\CG79-003.2.jpg")</f>
        <v>..\..\Imagery\ScannedPhotos\1979\CG79-003.2.jpg</v>
      </c>
    </row>
    <row r="3525" spans="1:14" x14ac:dyDescent="0.25">
      <c r="A3525" t="s">
        <v>8500</v>
      </c>
      <c r="B3525">
        <v>401819</v>
      </c>
      <c r="C3525">
        <v>6072624</v>
      </c>
      <c r="D3525">
        <v>21</v>
      </c>
      <c r="E3525" t="s">
        <v>15</v>
      </c>
      <c r="F3525" t="s">
        <v>8503</v>
      </c>
      <c r="G3525">
        <v>2</v>
      </c>
      <c r="H3525" t="s">
        <v>1872</v>
      </c>
      <c r="I3525" t="s">
        <v>375</v>
      </c>
      <c r="J3525" t="s">
        <v>1873</v>
      </c>
      <c r="K3525" t="s">
        <v>20</v>
      </c>
      <c r="L3525" t="s">
        <v>7885</v>
      </c>
      <c r="M3525" s="3" t="str">
        <f>HYPERLINK("..\..\Imagery\ScannedPhotos\1979\CG79-003.1.jpg")</f>
        <v>..\..\Imagery\ScannedPhotos\1979\CG79-003.1.jpg</v>
      </c>
    </row>
    <row r="3526" spans="1:14" x14ac:dyDescent="0.25">
      <c r="A3526" t="s">
        <v>8504</v>
      </c>
      <c r="B3526">
        <v>402195</v>
      </c>
      <c r="C3526">
        <v>6073796</v>
      </c>
      <c r="D3526">
        <v>21</v>
      </c>
      <c r="E3526" t="s">
        <v>15</v>
      </c>
      <c r="F3526" t="s">
        <v>8505</v>
      </c>
      <c r="G3526">
        <v>3</v>
      </c>
      <c r="H3526" t="s">
        <v>1872</v>
      </c>
      <c r="I3526" t="s">
        <v>209</v>
      </c>
      <c r="J3526" t="s">
        <v>1873</v>
      </c>
      <c r="K3526" t="s">
        <v>56</v>
      </c>
      <c r="L3526" t="s">
        <v>8506</v>
      </c>
      <c r="M3526" s="3" t="str">
        <f>HYPERLINK("..\..\Imagery\ScannedPhotos\1979\CG79-005.1.jpg")</f>
        <v>..\..\Imagery\ScannedPhotos\1979\CG79-005.1.jpg</v>
      </c>
    </row>
    <row r="3527" spans="1:14" x14ac:dyDescent="0.25">
      <c r="A3527" t="s">
        <v>1805</v>
      </c>
      <c r="B3527">
        <v>486400</v>
      </c>
      <c r="C3527">
        <v>5766492</v>
      </c>
      <c r="D3527">
        <v>21</v>
      </c>
      <c r="E3527" t="s">
        <v>15</v>
      </c>
      <c r="F3527" t="s">
        <v>8507</v>
      </c>
      <c r="G3527">
        <v>1</v>
      </c>
      <c r="H3527" t="s">
        <v>746</v>
      </c>
      <c r="I3527" t="s">
        <v>114</v>
      </c>
      <c r="J3527" t="s">
        <v>747</v>
      </c>
      <c r="K3527" t="s">
        <v>228</v>
      </c>
      <c r="L3527" t="s">
        <v>1807</v>
      </c>
      <c r="M3527" s="3" t="str">
        <f>HYPERLINK("..\..\Imagery\ScannedPhotos\1992\VN92-308.1E.jpg")</f>
        <v>..\..\Imagery\ScannedPhotos\1992\VN92-308.1E.jpg</v>
      </c>
      <c r="N3527" t="s">
        <v>1808</v>
      </c>
    </row>
    <row r="3528" spans="1:14" x14ac:dyDescent="0.25">
      <c r="A3528" t="s">
        <v>8508</v>
      </c>
      <c r="B3528">
        <v>531085</v>
      </c>
      <c r="C3528">
        <v>5735125</v>
      </c>
      <c r="D3528">
        <v>21</v>
      </c>
      <c r="E3528" t="s">
        <v>15</v>
      </c>
      <c r="F3528" t="s">
        <v>8509</v>
      </c>
      <c r="G3528">
        <v>1</v>
      </c>
      <c r="H3528" t="s">
        <v>3597</v>
      </c>
      <c r="I3528" t="s">
        <v>281</v>
      </c>
      <c r="J3528" t="s">
        <v>3598</v>
      </c>
      <c r="K3528" t="s">
        <v>56</v>
      </c>
      <c r="L3528" t="s">
        <v>8510</v>
      </c>
      <c r="M3528" s="3" t="str">
        <f>HYPERLINK("..\..\Imagery\ScannedPhotos\1993\VN93-010.jpg")</f>
        <v>..\..\Imagery\ScannedPhotos\1993\VN93-010.jpg</v>
      </c>
    </row>
    <row r="3529" spans="1:14" x14ac:dyDescent="0.25">
      <c r="A3529" t="s">
        <v>8511</v>
      </c>
      <c r="B3529">
        <v>530579</v>
      </c>
      <c r="C3529">
        <v>5734350</v>
      </c>
      <c r="D3529">
        <v>21</v>
      </c>
      <c r="E3529" t="s">
        <v>15</v>
      </c>
      <c r="F3529" t="s">
        <v>8512</v>
      </c>
      <c r="G3529">
        <v>2</v>
      </c>
      <c r="H3529" t="s">
        <v>3597</v>
      </c>
      <c r="I3529" t="s">
        <v>137</v>
      </c>
      <c r="J3529" t="s">
        <v>3598</v>
      </c>
      <c r="K3529" t="s">
        <v>56</v>
      </c>
      <c r="L3529" t="s">
        <v>8510</v>
      </c>
      <c r="M3529" s="3" t="str">
        <f>HYPERLINK("..\..\Imagery\ScannedPhotos\1993\VN93-011.1.jpg")</f>
        <v>..\..\Imagery\ScannedPhotos\1993\VN93-011.1.jpg</v>
      </c>
    </row>
    <row r="3530" spans="1:14" x14ac:dyDescent="0.25">
      <c r="A3530" t="s">
        <v>8511</v>
      </c>
      <c r="B3530">
        <v>530579</v>
      </c>
      <c r="C3530">
        <v>5734350</v>
      </c>
      <c r="D3530">
        <v>21</v>
      </c>
      <c r="E3530" t="s">
        <v>15</v>
      </c>
      <c r="F3530" t="s">
        <v>8513</v>
      </c>
      <c r="G3530">
        <v>2</v>
      </c>
      <c r="H3530" t="s">
        <v>3597</v>
      </c>
      <c r="I3530" t="s">
        <v>18</v>
      </c>
      <c r="J3530" t="s">
        <v>3598</v>
      </c>
      <c r="K3530" t="s">
        <v>20</v>
      </c>
      <c r="L3530" t="s">
        <v>8514</v>
      </c>
      <c r="M3530" s="3" t="str">
        <f>HYPERLINK("..\..\Imagery\ScannedPhotos\1993\VN93-011.2.jpg")</f>
        <v>..\..\Imagery\ScannedPhotos\1993\VN93-011.2.jpg</v>
      </c>
    </row>
    <row r="3531" spans="1:14" x14ac:dyDescent="0.25">
      <c r="A3531" t="s">
        <v>6376</v>
      </c>
      <c r="B3531">
        <v>531770</v>
      </c>
      <c r="C3531">
        <v>5960275</v>
      </c>
      <c r="D3531">
        <v>21</v>
      </c>
      <c r="E3531" t="s">
        <v>15</v>
      </c>
      <c r="F3531" t="s">
        <v>8515</v>
      </c>
      <c r="G3531">
        <v>2</v>
      </c>
      <c r="H3531" t="s">
        <v>1188</v>
      </c>
      <c r="I3531" t="s">
        <v>367</v>
      </c>
      <c r="J3531" t="s">
        <v>48</v>
      </c>
      <c r="K3531" t="s">
        <v>228</v>
      </c>
      <c r="L3531" t="s">
        <v>8516</v>
      </c>
      <c r="M3531" s="3" t="str">
        <f>HYPERLINK("..\..\Imagery\ScannedPhotos\1981\CG81-298.2.jpg")</f>
        <v>..\..\Imagery\ScannedPhotos\1981\CG81-298.2.jpg</v>
      </c>
    </row>
    <row r="3532" spans="1:14" x14ac:dyDescent="0.25">
      <c r="A3532" t="s">
        <v>8517</v>
      </c>
      <c r="B3532">
        <v>426700</v>
      </c>
      <c r="C3532">
        <v>5894155</v>
      </c>
      <c r="D3532">
        <v>21</v>
      </c>
      <c r="E3532" t="s">
        <v>15</v>
      </c>
      <c r="F3532" t="s">
        <v>8518</v>
      </c>
      <c r="G3532">
        <v>1</v>
      </c>
      <c r="H3532" t="s">
        <v>754</v>
      </c>
      <c r="I3532" t="s">
        <v>18</v>
      </c>
      <c r="J3532" t="s">
        <v>563</v>
      </c>
      <c r="K3532" t="s">
        <v>20</v>
      </c>
      <c r="L3532" t="s">
        <v>915</v>
      </c>
      <c r="M3532" s="3" t="str">
        <f>HYPERLINK("..\..\Imagery\ScannedPhotos\1995\CG95-011.jpg")</f>
        <v>..\..\Imagery\ScannedPhotos\1995\CG95-011.jpg</v>
      </c>
    </row>
    <row r="3533" spans="1:14" x14ac:dyDescent="0.25">
      <c r="A3533" t="s">
        <v>8519</v>
      </c>
      <c r="B3533">
        <v>425462</v>
      </c>
      <c r="C3533">
        <v>5893269</v>
      </c>
      <c r="D3533">
        <v>21</v>
      </c>
      <c r="E3533" t="s">
        <v>15</v>
      </c>
      <c r="F3533" t="s">
        <v>8520</v>
      </c>
      <c r="G3533">
        <v>1</v>
      </c>
      <c r="H3533" t="s">
        <v>754</v>
      </c>
      <c r="I3533" t="s">
        <v>35</v>
      </c>
      <c r="J3533" t="s">
        <v>563</v>
      </c>
      <c r="K3533" t="s">
        <v>20</v>
      </c>
      <c r="L3533" t="s">
        <v>8521</v>
      </c>
      <c r="M3533" s="3" t="str">
        <f>HYPERLINK("..\..\Imagery\ScannedPhotos\1995\CG95-015.jpg")</f>
        <v>..\..\Imagery\ScannedPhotos\1995\CG95-015.jpg</v>
      </c>
    </row>
    <row r="3534" spans="1:14" x14ac:dyDescent="0.25">
      <c r="A3534" t="s">
        <v>32</v>
      </c>
      <c r="B3534">
        <v>596446</v>
      </c>
      <c r="C3534">
        <v>5792950</v>
      </c>
      <c r="D3534">
        <v>21</v>
      </c>
      <c r="E3534" t="s">
        <v>15</v>
      </c>
      <c r="F3534" t="s">
        <v>8522</v>
      </c>
      <c r="G3534">
        <v>40</v>
      </c>
      <c r="H3534" t="s">
        <v>1650</v>
      </c>
      <c r="I3534" t="s">
        <v>108</v>
      </c>
      <c r="J3534" t="s">
        <v>1651</v>
      </c>
      <c r="K3534" t="s">
        <v>20</v>
      </c>
      <c r="L3534" t="s">
        <v>2675</v>
      </c>
      <c r="M3534" s="3" t="str">
        <f>HYPERLINK("..\..\Imagery\ScannedPhotos\1987\CG87-488.3.jpg")</f>
        <v>..\..\Imagery\ScannedPhotos\1987\CG87-488.3.jpg</v>
      </c>
    </row>
    <row r="3535" spans="1:14" x14ac:dyDescent="0.25">
      <c r="A3535" t="s">
        <v>8523</v>
      </c>
      <c r="B3535">
        <v>532892</v>
      </c>
      <c r="C3535">
        <v>5736947</v>
      </c>
      <c r="D3535">
        <v>21</v>
      </c>
      <c r="E3535" t="s">
        <v>15</v>
      </c>
      <c r="F3535" t="s">
        <v>8524</v>
      </c>
      <c r="G3535">
        <v>2</v>
      </c>
      <c r="H3535" t="s">
        <v>3597</v>
      </c>
      <c r="I3535" t="s">
        <v>94</v>
      </c>
      <c r="J3535" t="s">
        <v>3598</v>
      </c>
      <c r="K3535" t="s">
        <v>56</v>
      </c>
      <c r="L3535" t="s">
        <v>8525</v>
      </c>
      <c r="M3535" s="3" t="str">
        <f>HYPERLINK("..\..\Imagery\ScannedPhotos\1993\VN93-021.1.jpg")</f>
        <v>..\..\Imagery\ScannedPhotos\1993\VN93-021.1.jpg</v>
      </c>
    </row>
    <row r="3536" spans="1:14" x14ac:dyDescent="0.25">
      <c r="A3536" t="s">
        <v>8523</v>
      </c>
      <c r="B3536">
        <v>532892</v>
      </c>
      <c r="C3536">
        <v>5736947</v>
      </c>
      <c r="D3536">
        <v>21</v>
      </c>
      <c r="E3536" t="s">
        <v>15</v>
      </c>
      <c r="F3536" t="s">
        <v>8526</v>
      </c>
      <c r="G3536">
        <v>2</v>
      </c>
      <c r="H3536" t="s">
        <v>3597</v>
      </c>
      <c r="I3536" t="s">
        <v>209</v>
      </c>
      <c r="J3536" t="s">
        <v>3598</v>
      </c>
      <c r="K3536" t="s">
        <v>56</v>
      </c>
      <c r="L3536" t="s">
        <v>8525</v>
      </c>
      <c r="M3536" s="3" t="str">
        <f>HYPERLINK("..\..\Imagery\ScannedPhotos\1993\VN93-021.2.jpg")</f>
        <v>..\..\Imagery\ScannedPhotos\1993\VN93-021.2.jpg</v>
      </c>
    </row>
    <row r="3537" spans="1:13" x14ac:dyDescent="0.25">
      <c r="A3537" t="s">
        <v>8527</v>
      </c>
      <c r="B3537">
        <v>539451</v>
      </c>
      <c r="C3537">
        <v>5732626</v>
      </c>
      <c r="D3537">
        <v>21</v>
      </c>
      <c r="E3537" t="s">
        <v>15</v>
      </c>
      <c r="F3537" t="s">
        <v>8528</v>
      </c>
      <c r="G3537">
        <v>2</v>
      </c>
      <c r="H3537" t="s">
        <v>3597</v>
      </c>
      <c r="I3537" t="s">
        <v>217</v>
      </c>
      <c r="J3537" t="s">
        <v>3598</v>
      </c>
      <c r="K3537" t="s">
        <v>20</v>
      </c>
      <c r="L3537" t="s">
        <v>8529</v>
      </c>
      <c r="M3537" s="3" t="str">
        <f>HYPERLINK("..\..\Imagery\ScannedPhotos\1993\VN93-028.2.jpg")</f>
        <v>..\..\Imagery\ScannedPhotos\1993\VN93-028.2.jpg</v>
      </c>
    </row>
    <row r="3538" spans="1:13" x14ac:dyDescent="0.25">
      <c r="A3538" t="s">
        <v>8527</v>
      </c>
      <c r="B3538">
        <v>539451</v>
      </c>
      <c r="C3538">
        <v>5732626</v>
      </c>
      <c r="D3538">
        <v>21</v>
      </c>
      <c r="E3538" t="s">
        <v>15</v>
      </c>
      <c r="F3538" t="s">
        <v>8530</v>
      </c>
      <c r="G3538">
        <v>2</v>
      </c>
      <c r="H3538" t="s">
        <v>3597</v>
      </c>
      <c r="I3538" t="s">
        <v>386</v>
      </c>
      <c r="J3538" t="s">
        <v>3598</v>
      </c>
      <c r="K3538" t="s">
        <v>20</v>
      </c>
      <c r="L3538" t="s">
        <v>8531</v>
      </c>
      <c r="M3538" s="3" t="str">
        <f>HYPERLINK("..\..\Imagery\ScannedPhotos\1993\VN93-028.1.jpg")</f>
        <v>..\..\Imagery\ScannedPhotos\1993\VN93-028.1.jpg</v>
      </c>
    </row>
    <row r="3539" spans="1:13" x14ac:dyDescent="0.25">
      <c r="A3539" t="s">
        <v>8532</v>
      </c>
      <c r="B3539">
        <v>539840</v>
      </c>
      <c r="C3539">
        <v>5732210</v>
      </c>
      <c r="D3539">
        <v>21</v>
      </c>
      <c r="E3539" t="s">
        <v>15</v>
      </c>
      <c r="F3539" t="s">
        <v>8533</v>
      </c>
      <c r="G3539">
        <v>1</v>
      </c>
      <c r="H3539" t="s">
        <v>3597</v>
      </c>
      <c r="I3539" t="s">
        <v>214</v>
      </c>
      <c r="J3539" t="s">
        <v>3598</v>
      </c>
      <c r="K3539" t="s">
        <v>20</v>
      </c>
      <c r="L3539" t="s">
        <v>8534</v>
      </c>
      <c r="M3539" s="3" t="str">
        <f>HYPERLINK("..\..\Imagery\ScannedPhotos\1993\VN93-029.jpg")</f>
        <v>..\..\Imagery\ScannedPhotos\1993\VN93-029.jpg</v>
      </c>
    </row>
    <row r="3540" spans="1:13" x14ac:dyDescent="0.25">
      <c r="A3540" t="s">
        <v>8535</v>
      </c>
      <c r="B3540">
        <v>539510</v>
      </c>
      <c r="C3540">
        <v>5731510</v>
      </c>
      <c r="D3540">
        <v>21</v>
      </c>
      <c r="E3540" t="s">
        <v>15</v>
      </c>
      <c r="F3540" t="s">
        <v>8536</v>
      </c>
      <c r="G3540">
        <v>1</v>
      </c>
      <c r="H3540" t="s">
        <v>3597</v>
      </c>
      <c r="I3540" t="s">
        <v>222</v>
      </c>
      <c r="J3540" t="s">
        <v>3598</v>
      </c>
      <c r="K3540" t="s">
        <v>20</v>
      </c>
      <c r="L3540" t="s">
        <v>8537</v>
      </c>
      <c r="M3540" s="3" t="str">
        <f>HYPERLINK("..\..\Imagery\ScannedPhotos\1993\VN93-031.jpg")</f>
        <v>..\..\Imagery\ScannedPhotos\1993\VN93-031.jpg</v>
      </c>
    </row>
    <row r="3541" spans="1:13" x14ac:dyDescent="0.25">
      <c r="A3541" t="s">
        <v>893</v>
      </c>
      <c r="B3541">
        <v>385887</v>
      </c>
      <c r="C3541">
        <v>5999284</v>
      </c>
      <c r="D3541">
        <v>21</v>
      </c>
      <c r="E3541" t="s">
        <v>15</v>
      </c>
      <c r="F3541" t="s">
        <v>8538</v>
      </c>
      <c r="G3541">
        <v>6</v>
      </c>
      <c r="H3541" t="s">
        <v>651</v>
      </c>
      <c r="I3541" t="s">
        <v>114</v>
      </c>
      <c r="J3541" t="s">
        <v>652</v>
      </c>
      <c r="K3541" t="s">
        <v>20</v>
      </c>
      <c r="L3541" t="s">
        <v>8539</v>
      </c>
      <c r="M3541" s="3" t="str">
        <f>HYPERLINK("..\..\Imagery\ScannedPhotos\1980\NN80-059.3.jpg")</f>
        <v>..\..\Imagery\ScannedPhotos\1980\NN80-059.3.jpg</v>
      </c>
    </row>
    <row r="3542" spans="1:13" x14ac:dyDescent="0.25">
      <c r="A3542" t="s">
        <v>8540</v>
      </c>
      <c r="B3542">
        <v>378037</v>
      </c>
      <c r="C3542">
        <v>5995310</v>
      </c>
      <c r="D3542">
        <v>21</v>
      </c>
      <c r="E3542" t="s">
        <v>15</v>
      </c>
      <c r="F3542" t="s">
        <v>8541</v>
      </c>
      <c r="G3542">
        <v>2</v>
      </c>
      <c r="H3542" t="s">
        <v>651</v>
      </c>
      <c r="I3542" t="s">
        <v>108</v>
      </c>
      <c r="J3542" t="s">
        <v>652</v>
      </c>
      <c r="K3542" t="s">
        <v>20</v>
      </c>
      <c r="L3542" t="s">
        <v>1020</v>
      </c>
      <c r="M3542" s="3" t="str">
        <f>HYPERLINK("..\..\Imagery\ScannedPhotos\1980\NN80-062.1.jpg")</f>
        <v>..\..\Imagery\ScannedPhotos\1980\NN80-062.1.jpg</v>
      </c>
    </row>
    <row r="3543" spans="1:13" x14ac:dyDescent="0.25">
      <c r="A3543" t="s">
        <v>8540</v>
      </c>
      <c r="B3543">
        <v>378037</v>
      </c>
      <c r="C3543">
        <v>5995310</v>
      </c>
      <c r="D3543">
        <v>21</v>
      </c>
      <c r="E3543" t="s">
        <v>15</v>
      </c>
      <c r="F3543" t="s">
        <v>8542</v>
      </c>
      <c r="G3543">
        <v>2</v>
      </c>
      <c r="H3543" t="s">
        <v>651</v>
      </c>
      <c r="I3543" t="s">
        <v>132</v>
      </c>
      <c r="J3543" t="s">
        <v>652</v>
      </c>
      <c r="K3543" t="s">
        <v>20</v>
      </c>
      <c r="L3543" t="s">
        <v>1020</v>
      </c>
      <c r="M3543" s="3" t="str">
        <f>HYPERLINK("..\..\Imagery\ScannedPhotos\1980\NN80-062.2.jpg")</f>
        <v>..\..\Imagery\ScannedPhotos\1980\NN80-062.2.jpg</v>
      </c>
    </row>
    <row r="3544" spans="1:13" x14ac:dyDescent="0.25">
      <c r="A3544" t="s">
        <v>3386</v>
      </c>
      <c r="B3544">
        <v>493041</v>
      </c>
      <c r="C3544">
        <v>5820808</v>
      </c>
      <c r="D3544">
        <v>21</v>
      </c>
      <c r="E3544" t="s">
        <v>15</v>
      </c>
      <c r="F3544" t="s">
        <v>8543</v>
      </c>
      <c r="G3544">
        <v>6</v>
      </c>
      <c r="H3544" t="s">
        <v>3330</v>
      </c>
      <c r="I3544" t="s">
        <v>74</v>
      </c>
      <c r="J3544" t="s">
        <v>850</v>
      </c>
      <c r="K3544" t="s">
        <v>56</v>
      </c>
      <c r="L3544" t="s">
        <v>2173</v>
      </c>
      <c r="M3544" s="3" t="str">
        <f>HYPERLINK("..\..\Imagery\ScannedPhotos\1991\DD91-004.2.jpg")</f>
        <v>..\..\Imagery\ScannedPhotos\1991\DD91-004.2.jpg</v>
      </c>
    </row>
    <row r="3545" spans="1:13" x14ac:dyDescent="0.25">
      <c r="A3545" t="s">
        <v>3386</v>
      </c>
      <c r="B3545">
        <v>493041</v>
      </c>
      <c r="C3545">
        <v>5820808</v>
      </c>
      <c r="D3545">
        <v>21</v>
      </c>
      <c r="E3545" t="s">
        <v>15</v>
      </c>
      <c r="F3545" t="s">
        <v>8544</v>
      </c>
      <c r="G3545">
        <v>6</v>
      </c>
      <c r="H3545" t="s">
        <v>3330</v>
      </c>
      <c r="I3545" t="s">
        <v>41</v>
      </c>
      <c r="J3545" t="s">
        <v>850</v>
      </c>
      <c r="K3545" t="s">
        <v>56</v>
      </c>
      <c r="L3545" t="s">
        <v>2173</v>
      </c>
      <c r="M3545" s="3" t="str">
        <f>HYPERLINK("..\..\Imagery\ScannedPhotos\1991\DD91-004.3.jpg")</f>
        <v>..\..\Imagery\ScannedPhotos\1991\DD91-004.3.jpg</v>
      </c>
    </row>
    <row r="3546" spans="1:13" x14ac:dyDescent="0.25">
      <c r="A3546" t="s">
        <v>3386</v>
      </c>
      <c r="B3546">
        <v>493041</v>
      </c>
      <c r="C3546">
        <v>5820808</v>
      </c>
      <c r="D3546">
        <v>21</v>
      </c>
      <c r="E3546" t="s">
        <v>15</v>
      </c>
      <c r="F3546" t="s">
        <v>8545</v>
      </c>
      <c r="G3546">
        <v>6</v>
      </c>
      <c r="H3546" t="s">
        <v>3330</v>
      </c>
      <c r="I3546" t="s">
        <v>85</v>
      </c>
      <c r="J3546" t="s">
        <v>850</v>
      </c>
      <c r="K3546" t="s">
        <v>20</v>
      </c>
      <c r="L3546" t="s">
        <v>642</v>
      </c>
      <c r="M3546" s="3" t="str">
        <f>HYPERLINK("..\..\Imagery\ScannedPhotos\1991\DD91-004.4.jpg")</f>
        <v>..\..\Imagery\ScannedPhotos\1991\DD91-004.4.jpg</v>
      </c>
    </row>
    <row r="3547" spans="1:13" x14ac:dyDescent="0.25">
      <c r="A3547" t="s">
        <v>3386</v>
      </c>
      <c r="B3547">
        <v>493041</v>
      </c>
      <c r="C3547">
        <v>5820808</v>
      </c>
      <c r="D3547">
        <v>21</v>
      </c>
      <c r="E3547" t="s">
        <v>15</v>
      </c>
      <c r="F3547" t="s">
        <v>8546</v>
      </c>
      <c r="G3547">
        <v>6</v>
      </c>
      <c r="H3547" t="s">
        <v>3330</v>
      </c>
      <c r="I3547" t="s">
        <v>375</v>
      </c>
      <c r="J3547" t="s">
        <v>850</v>
      </c>
      <c r="K3547" t="s">
        <v>20</v>
      </c>
      <c r="L3547" t="s">
        <v>8547</v>
      </c>
      <c r="M3547" s="3" t="str">
        <f>HYPERLINK("..\..\Imagery\ScannedPhotos\1991\DD91-004.5.jpg")</f>
        <v>..\..\Imagery\ScannedPhotos\1991\DD91-004.5.jpg</v>
      </c>
    </row>
    <row r="3548" spans="1:13" x14ac:dyDescent="0.25">
      <c r="A3548" t="s">
        <v>8548</v>
      </c>
      <c r="B3548">
        <v>390301</v>
      </c>
      <c r="C3548">
        <v>6095658</v>
      </c>
      <c r="D3548">
        <v>21</v>
      </c>
      <c r="E3548" t="s">
        <v>15</v>
      </c>
      <c r="F3548" t="s">
        <v>8549</v>
      </c>
      <c r="G3548">
        <v>1</v>
      </c>
      <c r="H3548" t="s">
        <v>4048</v>
      </c>
      <c r="I3548" t="s">
        <v>119</v>
      </c>
      <c r="J3548" t="s">
        <v>355</v>
      </c>
      <c r="K3548" t="s">
        <v>20</v>
      </c>
      <c r="L3548" t="s">
        <v>8550</v>
      </c>
      <c r="M3548" s="3" t="str">
        <f>HYPERLINK("..\..\Imagery\ScannedPhotos\1979\AD79-174.jpg")</f>
        <v>..\..\Imagery\ScannedPhotos\1979\AD79-174.jpg</v>
      </c>
    </row>
    <row r="3549" spans="1:13" x14ac:dyDescent="0.25">
      <c r="A3549" t="s">
        <v>8551</v>
      </c>
      <c r="B3549">
        <v>483083</v>
      </c>
      <c r="C3549">
        <v>6044463</v>
      </c>
      <c r="D3549">
        <v>21</v>
      </c>
      <c r="E3549" t="s">
        <v>15</v>
      </c>
      <c r="F3549" t="s">
        <v>8552</v>
      </c>
      <c r="G3549">
        <v>1</v>
      </c>
      <c r="H3549" t="s">
        <v>422</v>
      </c>
      <c r="I3549" t="s">
        <v>129</v>
      </c>
      <c r="J3549" t="s">
        <v>423</v>
      </c>
      <c r="K3549" t="s">
        <v>20</v>
      </c>
      <c r="L3549" t="s">
        <v>8553</v>
      </c>
      <c r="M3549" s="3" t="str">
        <f>HYPERLINK("..\..\Imagery\ScannedPhotos\1979\AD79-201.jpg")</f>
        <v>..\..\Imagery\ScannedPhotos\1979\AD79-201.jpg</v>
      </c>
    </row>
    <row r="3550" spans="1:13" x14ac:dyDescent="0.25">
      <c r="A3550" t="s">
        <v>8554</v>
      </c>
      <c r="B3550">
        <v>483029</v>
      </c>
      <c r="C3550">
        <v>6043809</v>
      </c>
      <c r="D3550">
        <v>21</v>
      </c>
      <c r="E3550" t="s">
        <v>15</v>
      </c>
      <c r="F3550" t="s">
        <v>8555</v>
      </c>
      <c r="G3550">
        <v>1</v>
      </c>
      <c r="H3550" t="s">
        <v>422</v>
      </c>
      <c r="I3550" t="s">
        <v>143</v>
      </c>
      <c r="J3550" t="s">
        <v>423</v>
      </c>
      <c r="K3550" t="s">
        <v>20</v>
      </c>
      <c r="L3550" t="s">
        <v>8556</v>
      </c>
      <c r="M3550" s="3" t="str">
        <f>HYPERLINK("..\..\Imagery\ScannedPhotos\1979\AD79-202.jpg")</f>
        <v>..\..\Imagery\ScannedPhotos\1979\AD79-202.jpg</v>
      </c>
    </row>
    <row r="3551" spans="1:13" x14ac:dyDescent="0.25">
      <c r="A3551" t="s">
        <v>8557</v>
      </c>
      <c r="B3551">
        <v>483013</v>
      </c>
      <c r="C3551">
        <v>6042625</v>
      </c>
      <c r="D3551">
        <v>21</v>
      </c>
      <c r="E3551" t="s">
        <v>15</v>
      </c>
      <c r="F3551" t="s">
        <v>8558</v>
      </c>
      <c r="G3551">
        <v>1</v>
      </c>
      <c r="H3551" t="s">
        <v>422</v>
      </c>
      <c r="I3551" t="s">
        <v>147</v>
      </c>
      <c r="J3551" t="s">
        <v>423</v>
      </c>
      <c r="K3551" t="s">
        <v>20</v>
      </c>
      <c r="L3551" t="s">
        <v>8559</v>
      </c>
      <c r="M3551" s="3" t="str">
        <f>HYPERLINK("..\..\Imagery\ScannedPhotos\1979\AD79-204.jpg")</f>
        <v>..\..\Imagery\ScannedPhotos\1979\AD79-204.jpg</v>
      </c>
    </row>
    <row r="3552" spans="1:13" x14ac:dyDescent="0.25">
      <c r="A3552" t="s">
        <v>8560</v>
      </c>
      <c r="B3552">
        <v>480902</v>
      </c>
      <c r="C3552">
        <v>6039357</v>
      </c>
      <c r="D3552">
        <v>21</v>
      </c>
      <c r="E3552" t="s">
        <v>15</v>
      </c>
      <c r="F3552" t="s">
        <v>8561</v>
      </c>
      <c r="G3552">
        <v>1</v>
      </c>
      <c r="H3552" t="s">
        <v>422</v>
      </c>
      <c r="I3552" t="s">
        <v>52</v>
      </c>
      <c r="J3552" t="s">
        <v>423</v>
      </c>
      <c r="K3552" t="s">
        <v>20</v>
      </c>
      <c r="L3552" t="s">
        <v>8562</v>
      </c>
      <c r="M3552" s="3" t="str">
        <f>HYPERLINK("..\..\Imagery\ScannedPhotos\1979\AD79-210.jpg")</f>
        <v>..\..\Imagery\ScannedPhotos\1979\AD79-210.jpg</v>
      </c>
    </row>
    <row r="3553" spans="1:13" x14ac:dyDescent="0.25">
      <c r="A3553" t="s">
        <v>8563</v>
      </c>
      <c r="B3553">
        <v>494044</v>
      </c>
      <c r="C3553">
        <v>5952876</v>
      </c>
      <c r="D3553">
        <v>21</v>
      </c>
      <c r="E3553" t="s">
        <v>15</v>
      </c>
      <c r="F3553" t="s">
        <v>8564</v>
      </c>
      <c r="G3553">
        <v>1</v>
      </c>
      <c r="H3553" t="s">
        <v>443</v>
      </c>
      <c r="I3553" t="s">
        <v>108</v>
      </c>
      <c r="J3553" t="s">
        <v>48</v>
      </c>
      <c r="K3553" t="s">
        <v>20</v>
      </c>
      <c r="L3553" t="s">
        <v>8565</v>
      </c>
      <c r="M3553" s="3" t="str">
        <f>HYPERLINK("..\..\Imagery\ScannedPhotos\1981\CG81-114.jpg")</f>
        <v>..\..\Imagery\ScannedPhotos\1981\CG81-114.jpg</v>
      </c>
    </row>
    <row r="3554" spans="1:13" x14ac:dyDescent="0.25">
      <c r="A3554" t="s">
        <v>8566</v>
      </c>
      <c r="B3554">
        <v>476140</v>
      </c>
      <c r="C3554">
        <v>5939322</v>
      </c>
      <c r="D3554">
        <v>21</v>
      </c>
      <c r="E3554" t="s">
        <v>15</v>
      </c>
      <c r="F3554" t="s">
        <v>8567</v>
      </c>
      <c r="G3554">
        <v>2</v>
      </c>
      <c r="H3554" t="s">
        <v>443</v>
      </c>
      <c r="I3554" t="s">
        <v>132</v>
      </c>
      <c r="J3554" t="s">
        <v>48</v>
      </c>
      <c r="K3554" t="s">
        <v>20</v>
      </c>
      <c r="L3554" t="s">
        <v>8568</v>
      </c>
      <c r="M3554" s="3" t="str">
        <f>HYPERLINK("..\..\Imagery\ScannedPhotos\1981\CG81-128.1.jpg")</f>
        <v>..\..\Imagery\ScannedPhotos\1981\CG81-128.1.jpg</v>
      </c>
    </row>
    <row r="3555" spans="1:13" x14ac:dyDescent="0.25">
      <c r="A3555" t="s">
        <v>8566</v>
      </c>
      <c r="B3555">
        <v>476140</v>
      </c>
      <c r="C3555">
        <v>5939322</v>
      </c>
      <c r="D3555">
        <v>21</v>
      </c>
      <c r="E3555" t="s">
        <v>15</v>
      </c>
      <c r="F3555" t="s">
        <v>8569</v>
      </c>
      <c r="G3555">
        <v>2</v>
      </c>
      <c r="H3555" t="s">
        <v>443</v>
      </c>
      <c r="I3555" t="s">
        <v>129</v>
      </c>
      <c r="J3555" t="s">
        <v>48</v>
      </c>
      <c r="K3555" t="s">
        <v>20</v>
      </c>
      <c r="L3555" t="s">
        <v>8570</v>
      </c>
      <c r="M3555" s="3" t="str">
        <f>HYPERLINK("..\..\Imagery\ScannedPhotos\1981\CG81-128.2.jpg")</f>
        <v>..\..\Imagery\ScannedPhotos\1981\CG81-128.2.jpg</v>
      </c>
    </row>
    <row r="3556" spans="1:13" x14ac:dyDescent="0.25">
      <c r="A3556" t="s">
        <v>8571</v>
      </c>
      <c r="B3556">
        <v>447741</v>
      </c>
      <c r="C3556">
        <v>6007932</v>
      </c>
      <c r="D3556">
        <v>21</v>
      </c>
      <c r="E3556" t="s">
        <v>15</v>
      </c>
      <c r="F3556" t="s">
        <v>8572</v>
      </c>
      <c r="G3556">
        <v>1</v>
      </c>
      <c r="H3556" t="s">
        <v>93</v>
      </c>
      <c r="I3556" t="s">
        <v>647</v>
      </c>
      <c r="J3556" t="s">
        <v>95</v>
      </c>
      <c r="K3556" t="s">
        <v>20</v>
      </c>
      <c r="L3556" t="s">
        <v>8573</v>
      </c>
      <c r="M3556" s="3" t="str">
        <f>HYPERLINK("..\..\Imagery\ScannedPhotos\1980\CG80-256.jpg")</f>
        <v>..\..\Imagery\ScannedPhotos\1980\CG80-256.jpg</v>
      </c>
    </row>
    <row r="3557" spans="1:13" x14ac:dyDescent="0.25">
      <c r="A3557" t="s">
        <v>8574</v>
      </c>
      <c r="B3557">
        <v>448453</v>
      </c>
      <c r="C3557">
        <v>6007941</v>
      </c>
      <c r="D3557">
        <v>21</v>
      </c>
      <c r="E3557" t="s">
        <v>15</v>
      </c>
      <c r="F3557" t="s">
        <v>8575</v>
      </c>
      <c r="G3557">
        <v>1</v>
      </c>
      <c r="H3557" t="s">
        <v>93</v>
      </c>
      <c r="I3557" t="s">
        <v>30</v>
      </c>
      <c r="J3557" t="s">
        <v>95</v>
      </c>
      <c r="K3557" t="s">
        <v>20</v>
      </c>
      <c r="L3557" t="s">
        <v>8576</v>
      </c>
      <c r="M3557" s="3" t="str">
        <f>HYPERLINK("..\..\Imagery\ScannedPhotos\1980\CG80-258.jpg")</f>
        <v>..\..\Imagery\ScannedPhotos\1980\CG80-258.jpg</v>
      </c>
    </row>
    <row r="3558" spans="1:13" x14ac:dyDescent="0.25">
      <c r="A3558" t="s">
        <v>335</v>
      </c>
      <c r="B3558">
        <v>538232</v>
      </c>
      <c r="C3558">
        <v>5829204</v>
      </c>
      <c r="D3558">
        <v>21</v>
      </c>
      <c r="E3558" t="s">
        <v>15</v>
      </c>
      <c r="F3558" t="s">
        <v>8577</v>
      </c>
      <c r="G3558">
        <v>9</v>
      </c>
      <c r="K3558" t="s">
        <v>56</v>
      </c>
      <c r="L3558" t="s">
        <v>337</v>
      </c>
      <c r="M3558" s="3" t="str">
        <f>HYPERLINK("..\..\Imagery\ScannedPhotos\2004\CG04-141.2.jpg")</f>
        <v>..\..\Imagery\ScannedPhotos\2004\CG04-141.2.jpg</v>
      </c>
    </row>
    <row r="3559" spans="1:13" x14ac:dyDescent="0.25">
      <c r="A3559" t="s">
        <v>335</v>
      </c>
      <c r="B3559">
        <v>538232</v>
      </c>
      <c r="C3559">
        <v>5829204</v>
      </c>
      <c r="D3559">
        <v>21</v>
      </c>
      <c r="E3559" t="s">
        <v>15</v>
      </c>
      <c r="F3559" t="s">
        <v>8578</v>
      </c>
      <c r="G3559">
        <v>9</v>
      </c>
      <c r="K3559" t="s">
        <v>56</v>
      </c>
      <c r="L3559" t="s">
        <v>337</v>
      </c>
      <c r="M3559" s="3" t="str">
        <f>HYPERLINK("..\..\Imagery\ScannedPhotos\2004\CG04-141.3.jpg")</f>
        <v>..\..\Imagery\ScannedPhotos\2004\CG04-141.3.jpg</v>
      </c>
    </row>
    <row r="3560" spans="1:13" x14ac:dyDescent="0.25">
      <c r="A3560" t="s">
        <v>8579</v>
      </c>
      <c r="B3560">
        <v>537749</v>
      </c>
      <c r="C3560">
        <v>5829334</v>
      </c>
      <c r="D3560">
        <v>21</v>
      </c>
      <c r="E3560" t="s">
        <v>15</v>
      </c>
      <c r="F3560" t="s">
        <v>8580</v>
      </c>
      <c r="G3560">
        <v>3</v>
      </c>
      <c r="K3560" t="s">
        <v>935</v>
      </c>
      <c r="L3560" t="s">
        <v>8581</v>
      </c>
      <c r="M3560" s="3" t="str">
        <f>HYPERLINK("..\..\Imagery\ScannedPhotos\2004\CG04-142.1.jpg")</f>
        <v>..\..\Imagery\ScannedPhotos\2004\CG04-142.1.jpg</v>
      </c>
    </row>
    <row r="3561" spans="1:13" x14ac:dyDescent="0.25">
      <c r="A3561" t="s">
        <v>8579</v>
      </c>
      <c r="B3561">
        <v>537749</v>
      </c>
      <c r="C3561">
        <v>5829334</v>
      </c>
      <c r="D3561">
        <v>21</v>
      </c>
      <c r="E3561" t="s">
        <v>15</v>
      </c>
      <c r="F3561" t="s">
        <v>8582</v>
      </c>
      <c r="G3561">
        <v>3</v>
      </c>
      <c r="K3561" t="s">
        <v>935</v>
      </c>
      <c r="L3561" t="s">
        <v>8581</v>
      </c>
      <c r="M3561" s="3" t="str">
        <f>HYPERLINK("..\..\Imagery\ScannedPhotos\2004\CG04-142.2.jpg")</f>
        <v>..\..\Imagery\ScannedPhotos\2004\CG04-142.2.jpg</v>
      </c>
    </row>
    <row r="3562" spans="1:13" x14ac:dyDescent="0.25">
      <c r="A3562" t="s">
        <v>8579</v>
      </c>
      <c r="B3562">
        <v>537749</v>
      </c>
      <c r="C3562">
        <v>5829334</v>
      </c>
      <c r="D3562">
        <v>21</v>
      </c>
      <c r="E3562" t="s">
        <v>15</v>
      </c>
      <c r="F3562" t="s">
        <v>8583</v>
      </c>
      <c r="G3562">
        <v>3</v>
      </c>
      <c r="K3562" t="s">
        <v>935</v>
      </c>
      <c r="L3562" t="s">
        <v>8581</v>
      </c>
      <c r="M3562" s="3" t="str">
        <f>HYPERLINK("..\..\Imagery\ScannedPhotos\2004\CG04-142.3.jpg")</f>
        <v>..\..\Imagery\ScannedPhotos\2004\CG04-142.3.jpg</v>
      </c>
    </row>
    <row r="3563" spans="1:13" x14ac:dyDescent="0.25">
      <c r="A3563" t="s">
        <v>8584</v>
      </c>
      <c r="B3563">
        <v>536631</v>
      </c>
      <c r="C3563">
        <v>5829755</v>
      </c>
      <c r="D3563">
        <v>21</v>
      </c>
      <c r="E3563" t="s">
        <v>15</v>
      </c>
      <c r="F3563" t="s">
        <v>8585</v>
      </c>
      <c r="G3563">
        <v>2</v>
      </c>
      <c r="K3563" t="s">
        <v>56</v>
      </c>
      <c r="L3563" t="s">
        <v>337</v>
      </c>
      <c r="M3563" s="3" t="str">
        <f>HYPERLINK("..\..\Imagery\ScannedPhotos\2004\CG04-143.1.jpg")</f>
        <v>..\..\Imagery\ScannedPhotos\2004\CG04-143.1.jpg</v>
      </c>
    </row>
    <row r="3564" spans="1:13" x14ac:dyDescent="0.25">
      <c r="A3564" t="s">
        <v>8584</v>
      </c>
      <c r="B3564">
        <v>536631</v>
      </c>
      <c r="C3564">
        <v>5829755</v>
      </c>
      <c r="D3564">
        <v>21</v>
      </c>
      <c r="E3564" t="s">
        <v>15</v>
      </c>
      <c r="F3564" t="s">
        <v>8586</v>
      </c>
      <c r="G3564">
        <v>2</v>
      </c>
      <c r="K3564" t="s">
        <v>56</v>
      </c>
      <c r="L3564" t="s">
        <v>337</v>
      </c>
      <c r="M3564" s="3" t="str">
        <f>HYPERLINK("..\..\Imagery\ScannedPhotos\2004\CG04-143.2.jpg")</f>
        <v>..\..\Imagery\ScannedPhotos\2004\CG04-143.2.jpg</v>
      </c>
    </row>
    <row r="3565" spans="1:13" x14ac:dyDescent="0.25">
      <c r="A3565" t="s">
        <v>8587</v>
      </c>
      <c r="B3565">
        <v>475502</v>
      </c>
      <c r="C3565">
        <v>5872492</v>
      </c>
      <c r="D3565">
        <v>21</v>
      </c>
      <c r="E3565" t="s">
        <v>15</v>
      </c>
      <c r="F3565" t="s">
        <v>8588</v>
      </c>
      <c r="G3565">
        <v>1</v>
      </c>
      <c r="K3565" t="s">
        <v>56</v>
      </c>
      <c r="L3565" t="s">
        <v>8589</v>
      </c>
      <c r="M3565" s="3" t="str">
        <f>HYPERLINK("..\..\Imagery\ScannedPhotos\2004\CG04-144.jpg")</f>
        <v>..\..\Imagery\ScannedPhotos\2004\CG04-144.jpg</v>
      </c>
    </row>
    <row r="3566" spans="1:13" x14ac:dyDescent="0.25">
      <c r="A3566" t="s">
        <v>8590</v>
      </c>
      <c r="B3566">
        <v>472192</v>
      </c>
      <c r="C3566">
        <v>5875627</v>
      </c>
      <c r="D3566">
        <v>21</v>
      </c>
      <c r="E3566" t="s">
        <v>15</v>
      </c>
      <c r="F3566" t="s">
        <v>8591</v>
      </c>
      <c r="G3566">
        <v>1</v>
      </c>
      <c r="K3566" t="s">
        <v>20</v>
      </c>
      <c r="L3566" t="s">
        <v>617</v>
      </c>
      <c r="M3566" s="3" t="str">
        <f>HYPERLINK("..\..\Imagery\ScannedPhotos\2004\CG04-146.jpg")</f>
        <v>..\..\Imagery\ScannedPhotos\2004\CG04-146.jpg</v>
      </c>
    </row>
    <row r="3567" spans="1:13" x14ac:dyDescent="0.25">
      <c r="A3567" t="s">
        <v>1992</v>
      </c>
      <c r="B3567">
        <v>586137</v>
      </c>
      <c r="C3567">
        <v>5898017</v>
      </c>
      <c r="D3567">
        <v>21</v>
      </c>
      <c r="E3567" t="s">
        <v>15</v>
      </c>
      <c r="F3567" t="s">
        <v>8592</v>
      </c>
      <c r="G3567">
        <v>6</v>
      </c>
      <c r="H3567" t="s">
        <v>1994</v>
      </c>
      <c r="I3567" t="s">
        <v>18</v>
      </c>
      <c r="J3567" t="s">
        <v>138</v>
      </c>
      <c r="K3567" t="s">
        <v>20</v>
      </c>
      <c r="L3567" t="s">
        <v>1995</v>
      </c>
      <c r="M3567" s="3" t="str">
        <f>HYPERLINK("..\..\Imagery\ScannedPhotos\1985\GM85-583.1.jpg")</f>
        <v>..\..\Imagery\ScannedPhotos\1985\GM85-583.1.jpg</v>
      </c>
    </row>
    <row r="3568" spans="1:13" x14ac:dyDescent="0.25">
      <c r="A3568" t="s">
        <v>2384</v>
      </c>
      <c r="B3568">
        <v>331116</v>
      </c>
      <c r="C3568">
        <v>5788637</v>
      </c>
      <c r="D3568">
        <v>21</v>
      </c>
      <c r="E3568" t="s">
        <v>15</v>
      </c>
      <c r="F3568" t="s">
        <v>8593</v>
      </c>
      <c r="G3568">
        <v>4</v>
      </c>
      <c r="H3568" t="s">
        <v>78</v>
      </c>
      <c r="I3568" t="s">
        <v>74</v>
      </c>
      <c r="J3568" t="s">
        <v>80</v>
      </c>
      <c r="K3568" t="s">
        <v>20</v>
      </c>
      <c r="L3568" t="s">
        <v>8052</v>
      </c>
      <c r="M3568" s="3" t="str">
        <f>HYPERLINK("..\..\Imagery\ScannedPhotos\2000\CG00-147.4.jpg")</f>
        <v>..\..\Imagery\ScannedPhotos\2000\CG00-147.4.jpg</v>
      </c>
    </row>
    <row r="3569" spans="1:13" x14ac:dyDescent="0.25">
      <c r="A3569" t="s">
        <v>8594</v>
      </c>
      <c r="B3569">
        <v>332160</v>
      </c>
      <c r="C3569">
        <v>5771420</v>
      </c>
      <c r="D3569">
        <v>21</v>
      </c>
      <c r="E3569" t="s">
        <v>15</v>
      </c>
      <c r="F3569" t="s">
        <v>8595</v>
      </c>
      <c r="G3569">
        <v>11</v>
      </c>
      <c r="H3569" t="s">
        <v>78</v>
      </c>
      <c r="I3569" t="s">
        <v>41</v>
      </c>
      <c r="J3569" t="s">
        <v>80</v>
      </c>
      <c r="K3569" t="s">
        <v>20</v>
      </c>
      <c r="L3569" t="s">
        <v>8596</v>
      </c>
      <c r="M3569" s="3" t="str">
        <f>HYPERLINK("..\..\Imagery\ScannedPhotos\2000\CG00-154.6.jpg")</f>
        <v>..\..\Imagery\ScannedPhotos\2000\CG00-154.6.jpg</v>
      </c>
    </row>
    <row r="3570" spans="1:13" x14ac:dyDescent="0.25">
      <c r="A3570" t="s">
        <v>5602</v>
      </c>
      <c r="B3570">
        <v>498034</v>
      </c>
      <c r="C3570">
        <v>5944231</v>
      </c>
      <c r="D3570">
        <v>21</v>
      </c>
      <c r="E3570" t="s">
        <v>15</v>
      </c>
      <c r="F3570" t="s">
        <v>8597</v>
      </c>
      <c r="G3570">
        <v>2</v>
      </c>
      <c r="K3570" t="s">
        <v>535</v>
      </c>
      <c r="L3570" t="s">
        <v>8598</v>
      </c>
      <c r="M3570" s="3" t="str">
        <f>HYPERLINK("..\..\Imagery\ScannedPhotos\2004\CG04-157.1.jpg")</f>
        <v>..\..\Imagery\ScannedPhotos\2004\CG04-157.1.jpg</v>
      </c>
    </row>
    <row r="3571" spans="1:13" x14ac:dyDescent="0.25">
      <c r="A3571" t="s">
        <v>7026</v>
      </c>
      <c r="B3571">
        <v>530690</v>
      </c>
      <c r="C3571">
        <v>5731870</v>
      </c>
      <c r="D3571">
        <v>21</v>
      </c>
      <c r="E3571" t="s">
        <v>15</v>
      </c>
      <c r="F3571" t="s">
        <v>8599</v>
      </c>
      <c r="G3571">
        <v>3</v>
      </c>
      <c r="H3571" t="s">
        <v>1061</v>
      </c>
      <c r="I3571" t="s">
        <v>85</v>
      </c>
      <c r="J3571" t="s">
        <v>1062</v>
      </c>
      <c r="K3571" t="s">
        <v>56</v>
      </c>
      <c r="L3571" t="s">
        <v>8600</v>
      </c>
      <c r="M3571" s="3" t="str">
        <f>HYPERLINK("..\..\Imagery\ScannedPhotos\1993\CG93-014.3.jpg")</f>
        <v>..\..\Imagery\ScannedPhotos\1993\CG93-014.3.jpg</v>
      </c>
    </row>
    <row r="3572" spans="1:13" x14ac:dyDescent="0.25">
      <c r="A3572" t="s">
        <v>8601</v>
      </c>
      <c r="B3572">
        <v>472200</v>
      </c>
      <c r="C3572">
        <v>5858800</v>
      </c>
      <c r="D3572">
        <v>21</v>
      </c>
      <c r="E3572" t="s">
        <v>15</v>
      </c>
      <c r="F3572" t="s">
        <v>8602</v>
      </c>
      <c r="G3572">
        <v>2</v>
      </c>
      <c r="H3572" t="s">
        <v>2719</v>
      </c>
      <c r="I3572" t="s">
        <v>41</v>
      </c>
      <c r="J3572" t="s">
        <v>891</v>
      </c>
      <c r="K3572" t="s">
        <v>20</v>
      </c>
      <c r="L3572" t="s">
        <v>8603</v>
      </c>
      <c r="M3572" s="3" t="str">
        <f>HYPERLINK("..\..\Imagery\ScannedPhotos\1991\VN91-263.1.jpg")</f>
        <v>..\..\Imagery\ScannedPhotos\1991\VN91-263.1.jpg</v>
      </c>
    </row>
    <row r="3573" spans="1:13" x14ac:dyDescent="0.25">
      <c r="A3573" t="s">
        <v>8601</v>
      </c>
      <c r="B3573">
        <v>472200</v>
      </c>
      <c r="C3573">
        <v>5858800</v>
      </c>
      <c r="D3573">
        <v>21</v>
      </c>
      <c r="E3573" t="s">
        <v>15</v>
      </c>
      <c r="F3573" t="s">
        <v>8604</v>
      </c>
      <c r="G3573">
        <v>2</v>
      </c>
      <c r="H3573" t="s">
        <v>2719</v>
      </c>
      <c r="I3573" t="s">
        <v>85</v>
      </c>
      <c r="J3573" t="s">
        <v>891</v>
      </c>
      <c r="K3573" t="s">
        <v>20</v>
      </c>
      <c r="L3573" t="s">
        <v>8605</v>
      </c>
      <c r="M3573" s="3" t="str">
        <f>HYPERLINK("..\..\Imagery\ScannedPhotos\1991\VN91-263.2.jpg")</f>
        <v>..\..\Imagery\ScannedPhotos\1991\VN91-263.2.jpg</v>
      </c>
    </row>
    <row r="3574" spans="1:13" x14ac:dyDescent="0.25">
      <c r="A3574" t="s">
        <v>3548</v>
      </c>
      <c r="B3574">
        <v>472050</v>
      </c>
      <c r="C3574">
        <v>5859375</v>
      </c>
      <c r="D3574">
        <v>21</v>
      </c>
      <c r="E3574" t="s">
        <v>15</v>
      </c>
      <c r="F3574" t="s">
        <v>8606</v>
      </c>
      <c r="G3574">
        <v>19</v>
      </c>
      <c r="H3574" t="s">
        <v>1037</v>
      </c>
      <c r="I3574" t="s">
        <v>129</v>
      </c>
      <c r="J3574" t="s">
        <v>1038</v>
      </c>
      <c r="K3574" t="s">
        <v>20</v>
      </c>
      <c r="L3574" t="s">
        <v>8607</v>
      </c>
      <c r="M3574" s="3" t="str">
        <f>HYPERLINK("..\..\Imagery\ScannedPhotos\1991\VN91-264.18.jpg")</f>
        <v>..\..\Imagery\ScannedPhotos\1991\VN91-264.18.jpg</v>
      </c>
    </row>
    <row r="3575" spans="1:13" x14ac:dyDescent="0.25">
      <c r="A3575" t="s">
        <v>3548</v>
      </c>
      <c r="B3575">
        <v>472050</v>
      </c>
      <c r="C3575">
        <v>5859375</v>
      </c>
      <c r="D3575">
        <v>21</v>
      </c>
      <c r="E3575" t="s">
        <v>15</v>
      </c>
      <c r="F3575" t="s">
        <v>8608</v>
      </c>
      <c r="G3575">
        <v>19</v>
      </c>
      <c r="H3575" t="s">
        <v>1163</v>
      </c>
      <c r="I3575" t="s">
        <v>137</v>
      </c>
      <c r="J3575" t="s">
        <v>814</v>
      </c>
      <c r="K3575" t="s">
        <v>20</v>
      </c>
      <c r="L3575" t="s">
        <v>8609</v>
      </c>
      <c r="M3575" s="3" t="str">
        <f>HYPERLINK("..\..\Imagery\ScannedPhotos\1991\VN91-264.19.jpg")</f>
        <v>..\..\Imagery\ScannedPhotos\1991\VN91-264.19.jpg</v>
      </c>
    </row>
    <row r="3576" spans="1:13" x14ac:dyDescent="0.25">
      <c r="A3576" t="s">
        <v>3548</v>
      </c>
      <c r="B3576">
        <v>472050</v>
      </c>
      <c r="C3576">
        <v>5859375</v>
      </c>
      <c r="D3576">
        <v>21</v>
      </c>
      <c r="E3576" t="s">
        <v>15</v>
      </c>
      <c r="F3576" t="s">
        <v>8610</v>
      </c>
      <c r="G3576">
        <v>19</v>
      </c>
      <c r="H3576" t="s">
        <v>2719</v>
      </c>
      <c r="I3576" t="s">
        <v>386</v>
      </c>
      <c r="J3576" t="s">
        <v>891</v>
      </c>
      <c r="K3576" t="s">
        <v>56</v>
      </c>
      <c r="L3576" t="s">
        <v>7321</v>
      </c>
      <c r="M3576" s="3" t="str">
        <f>HYPERLINK("..\..\Imagery\ScannedPhotos\1991\VN91-264.7.jpg")</f>
        <v>..\..\Imagery\ScannedPhotos\1991\VN91-264.7.jpg</v>
      </c>
    </row>
    <row r="3577" spans="1:13" x14ac:dyDescent="0.25">
      <c r="A3577" t="s">
        <v>8611</v>
      </c>
      <c r="B3577">
        <v>536932</v>
      </c>
      <c r="C3577">
        <v>5832812</v>
      </c>
      <c r="D3577">
        <v>21</v>
      </c>
      <c r="E3577" t="s">
        <v>15</v>
      </c>
      <c r="F3577" t="s">
        <v>8612</v>
      </c>
      <c r="G3577">
        <v>1</v>
      </c>
      <c r="K3577" t="s">
        <v>20</v>
      </c>
      <c r="L3577" t="s">
        <v>8613</v>
      </c>
      <c r="M3577" s="3" t="str">
        <f>HYPERLINK("..\..\Imagery\ScannedPhotos\2004\CG04-063.jpg")</f>
        <v>..\..\Imagery\ScannedPhotos\2004\CG04-063.jpg</v>
      </c>
    </row>
    <row r="3578" spans="1:13" x14ac:dyDescent="0.25">
      <c r="A3578" t="s">
        <v>1791</v>
      </c>
      <c r="B3578">
        <v>468184</v>
      </c>
      <c r="C3578">
        <v>5877922</v>
      </c>
      <c r="D3578">
        <v>21</v>
      </c>
      <c r="E3578" t="s">
        <v>15</v>
      </c>
      <c r="F3578" t="s">
        <v>8614</v>
      </c>
      <c r="G3578">
        <v>2</v>
      </c>
      <c r="K3578" t="s">
        <v>935</v>
      </c>
      <c r="L3578" t="s">
        <v>1793</v>
      </c>
      <c r="M3578" s="3" t="str">
        <f>HYPERLINK("..\..\Imagery\ScannedPhotos\2004\CG04-149.2.jpg")</f>
        <v>..\..\Imagery\ScannedPhotos\2004\CG04-149.2.jpg</v>
      </c>
    </row>
    <row r="3579" spans="1:13" x14ac:dyDescent="0.25">
      <c r="A3579" t="s">
        <v>1921</v>
      </c>
      <c r="B3579">
        <v>384539</v>
      </c>
      <c r="C3579">
        <v>5861447</v>
      </c>
      <c r="D3579">
        <v>21</v>
      </c>
      <c r="E3579" t="s">
        <v>15</v>
      </c>
      <c r="F3579" t="s">
        <v>8615</v>
      </c>
      <c r="G3579">
        <v>2</v>
      </c>
      <c r="H3579" t="s">
        <v>1919</v>
      </c>
      <c r="I3579" t="s">
        <v>304</v>
      </c>
      <c r="J3579" t="s">
        <v>771</v>
      </c>
      <c r="K3579" t="s">
        <v>535</v>
      </c>
      <c r="L3579" t="s">
        <v>8616</v>
      </c>
      <c r="M3579" s="3" t="str">
        <f>HYPERLINK("..\..\Imagery\ScannedPhotos\1997\CG97-068.2.jpg")</f>
        <v>..\..\Imagery\ScannedPhotos\1997\CG97-068.2.jpg</v>
      </c>
    </row>
    <row r="3580" spans="1:13" x14ac:dyDescent="0.25">
      <c r="A3580" t="s">
        <v>8617</v>
      </c>
      <c r="B3580">
        <v>389901</v>
      </c>
      <c r="C3580">
        <v>5863801</v>
      </c>
      <c r="D3580">
        <v>21</v>
      </c>
      <c r="E3580" t="s">
        <v>15</v>
      </c>
      <c r="F3580" t="s">
        <v>8618</v>
      </c>
      <c r="G3580">
        <v>1</v>
      </c>
      <c r="H3580" t="s">
        <v>1397</v>
      </c>
      <c r="I3580" t="s">
        <v>217</v>
      </c>
      <c r="J3580" t="s">
        <v>771</v>
      </c>
      <c r="K3580" t="s">
        <v>228</v>
      </c>
      <c r="L3580" t="s">
        <v>8619</v>
      </c>
      <c r="M3580" s="3" t="str">
        <f>HYPERLINK("..\..\Imagery\ScannedPhotos\1997\CG97-071.jpg")</f>
        <v>..\..\Imagery\ScannedPhotos\1997\CG97-071.jpg</v>
      </c>
    </row>
    <row r="3581" spans="1:13" x14ac:dyDescent="0.25">
      <c r="A3581" t="s">
        <v>3523</v>
      </c>
      <c r="B3581">
        <v>400705</v>
      </c>
      <c r="C3581">
        <v>5868959</v>
      </c>
      <c r="D3581">
        <v>21</v>
      </c>
      <c r="E3581" t="s">
        <v>15</v>
      </c>
      <c r="F3581" t="s">
        <v>8620</v>
      </c>
      <c r="G3581">
        <v>2</v>
      </c>
      <c r="H3581" t="s">
        <v>1919</v>
      </c>
      <c r="I3581" t="s">
        <v>360</v>
      </c>
      <c r="J3581" t="s">
        <v>771</v>
      </c>
      <c r="K3581" t="s">
        <v>20</v>
      </c>
      <c r="L3581" t="s">
        <v>3525</v>
      </c>
      <c r="M3581" s="3" t="str">
        <f>HYPERLINK("..\..\Imagery\ScannedPhotos\1997\CG97-090.1.jpg")</f>
        <v>..\..\Imagery\ScannedPhotos\1997\CG97-090.1.jpg</v>
      </c>
    </row>
    <row r="3582" spans="1:13" x14ac:dyDescent="0.25">
      <c r="A3582" t="s">
        <v>8621</v>
      </c>
      <c r="B3582">
        <v>522693</v>
      </c>
      <c r="C3582">
        <v>5849073</v>
      </c>
      <c r="D3582">
        <v>21</v>
      </c>
      <c r="E3582" t="s">
        <v>15</v>
      </c>
      <c r="F3582" t="s">
        <v>8622</v>
      </c>
      <c r="G3582">
        <v>1</v>
      </c>
      <c r="H3582" t="s">
        <v>299</v>
      </c>
      <c r="I3582" t="s">
        <v>360</v>
      </c>
      <c r="J3582" t="s">
        <v>300</v>
      </c>
      <c r="K3582" t="s">
        <v>56</v>
      </c>
      <c r="L3582" t="s">
        <v>1020</v>
      </c>
      <c r="M3582" s="3" t="str">
        <f>HYPERLINK("..\..\Imagery\ScannedPhotos\1986\MN86-184.jpg")</f>
        <v>..\..\Imagery\ScannedPhotos\1986\MN86-184.jpg</v>
      </c>
    </row>
    <row r="3583" spans="1:13" x14ac:dyDescent="0.25">
      <c r="A3583" t="s">
        <v>8623</v>
      </c>
      <c r="B3583">
        <v>578413</v>
      </c>
      <c r="C3583">
        <v>5829114</v>
      </c>
      <c r="D3583">
        <v>21</v>
      </c>
      <c r="E3583" t="s">
        <v>15</v>
      </c>
      <c r="F3583" t="s">
        <v>8624</v>
      </c>
      <c r="G3583">
        <v>1</v>
      </c>
      <c r="H3583" t="s">
        <v>299</v>
      </c>
      <c r="I3583" t="s">
        <v>647</v>
      </c>
      <c r="J3583" t="s">
        <v>300</v>
      </c>
      <c r="K3583" t="s">
        <v>20</v>
      </c>
      <c r="L3583" t="s">
        <v>8625</v>
      </c>
      <c r="M3583" s="3" t="str">
        <f>HYPERLINK("..\..\Imagery\ScannedPhotos\1986\MN86-187.jpg")</f>
        <v>..\..\Imagery\ScannedPhotos\1986\MN86-187.jpg</v>
      </c>
    </row>
    <row r="3584" spans="1:13" x14ac:dyDescent="0.25">
      <c r="A3584" t="s">
        <v>8626</v>
      </c>
      <c r="B3584">
        <v>577669</v>
      </c>
      <c r="C3584">
        <v>5828626</v>
      </c>
      <c r="D3584">
        <v>21</v>
      </c>
      <c r="E3584" t="s">
        <v>15</v>
      </c>
      <c r="F3584" t="s">
        <v>8627</v>
      </c>
      <c r="G3584">
        <v>2</v>
      </c>
      <c r="H3584" t="s">
        <v>299</v>
      </c>
      <c r="I3584" t="s">
        <v>30</v>
      </c>
      <c r="J3584" t="s">
        <v>300</v>
      </c>
      <c r="K3584" t="s">
        <v>20</v>
      </c>
      <c r="L3584" t="s">
        <v>2263</v>
      </c>
      <c r="M3584" s="3" t="str">
        <f>HYPERLINK("..\..\Imagery\ScannedPhotos\1986\MN86-190.1.jpg")</f>
        <v>..\..\Imagery\ScannedPhotos\1986\MN86-190.1.jpg</v>
      </c>
    </row>
    <row r="3585" spans="1:13" x14ac:dyDescent="0.25">
      <c r="A3585" t="s">
        <v>8626</v>
      </c>
      <c r="B3585">
        <v>577669</v>
      </c>
      <c r="C3585">
        <v>5828626</v>
      </c>
      <c r="D3585">
        <v>21</v>
      </c>
      <c r="E3585" t="s">
        <v>15</v>
      </c>
      <c r="F3585" t="s">
        <v>8628</v>
      </c>
      <c r="G3585">
        <v>2</v>
      </c>
      <c r="H3585" t="s">
        <v>1750</v>
      </c>
      <c r="I3585" t="s">
        <v>114</v>
      </c>
      <c r="J3585" t="s">
        <v>1751</v>
      </c>
      <c r="K3585" t="s">
        <v>20</v>
      </c>
      <c r="L3585" t="s">
        <v>2263</v>
      </c>
      <c r="M3585" s="3" t="str">
        <f>HYPERLINK("..\..\Imagery\ScannedPhotos\1986\MN86-190.2.jpg")</f>
        <v>..\..\Imagery\ScannedPhotos\1986\MN86-190.2.jpg</v>
      </c>
    </row>
    <row r="3586" spans="1:13" x14ac:dyDescent="0.25">
      <c r="A3586" t="s">
        <v>8629</v>
      </c>
      <c r="B3586">
        <v>401979</v>
      </c>
      <c r="C3586">
        <v>5990716</v>
      </c>
      <c r="D3586">
        <v>21</v>
      </c>
      <c r="E3586" t="s">
        <v>15</v>
      </c>
      <c r="F3586" t="s">
        <v>8630</v>
      </c>
      <c r="G3586">
        <v>2</v>
      </c>
      <c r="H3586" t="s">
        <v>1133</v>
      </c>
      <c r="I3586" t="s">
        <v>126</v>
      </c>
      <c r="J3586" t="s">
        <v>623</v>
      </c>
      <c r="K3586" t="s">
        <v>20</v>
      </c>
      <c r="L3586" t="s">
        <v>7405</v>
      </c>
      <c r="M3586" s="3" t="str">
        <f>HYPERLINK("..\..\Imagery\ScannedPhotos\1980\CG80-203.1.jpg")</f>
        <v>..\..\Imagery\ScannedPhotos\1980\CG80-203.1.jpg</v>
      </c>
    </row>
    <row r="3587" spans="1:13" x14ac:dyDescent="0.25">
      <c r="A3587" t="s">
        <v>1489</v>
      </c>
      <c r="B3587">
        <v>387378</v>
      </c>
      <c r="C3587">
        <v>5926980</v>
      </c>
      <c r="D3587">
        <v>21</v>
      </c>
      <c r="E3587" t="s">
        <v>15</v>
      </c>
      <c r="F3587" t="s">
        <v>8631</v>
      </c>
      <c r="G3587">
        <v>3</v>
      </c>
      <c r="H3587" t="s">
        <v>562</v>
      </c>
      <c r="I3587" t="s">
        <v>25</v>
      </c>
      <c r="J3587" t="s">
        <v>563</v>
      </c>
      <c r="K3587" t="s">
        <v>20</v>
      </c>
      <c r="L3587" t="s">
        <v>8632</v>
      </c>
      <c r="M3587" s="3" t="str">
        <f>HYPERLINK("..\..\Imagery\ScannedPhotos\1995\VN95-111.3.jpg")</f>
        <v>..\..\Imagery\ScannedPhotos\1995\VN95-111.3.jpg</v>
      </c>
    </row>
    <row r="3588" spans="1:13" x14ac:dyDescent="0.25">
      <c r="A3588" t="s">
        <v>8633</v>
      </c>
      <c r="B3588">
        <v>408180</v>
      </c>
      <c r="C3588">
        <v>5792095</v>
      </c>
      <c r="D3588">
        <v>21</v>
      </c>
      <c r="E3588" t="s">
        <v>15</v>
      </c>
      <c r="F3588" t="s">
        <v>8634</v>
      </c>
      <c r="G3588">
        <v>1</v>
      </c>
      <c r="H3588" t="s">
        <v>738</v>
      </c>
      <c r="I3588" t="s">
        <v>65</v>
      </c>
      <c r="J3588" t="s">
        <v>739</v>
      </c>
      <c r="K3588" t="s">
        <v>56</v>
      </c>
      <c r="L3588" t="s">
        <v>3032</v>
      </c>
      <c r="M3588" s="3" t="str">
        <f>HYPERLINK("..\..\Imagery\ScannedPhotos\1999\CG99-104.jpg")</f>
        <v>..\..\Imagery\ScannedPhotos\1999\CG99-104.jpg</v>
      </c>
    </row>
    <row r="3589" spans="1:13" x14ac:dyDescent="0.25">
      <c r="A3589" t="s">
        <v>1846</v>
      </c>
      <c r="B3589">
        <v>534977</v>
      </c>
      <c r="C3589">
        <v>5833462</v>
      </c>
      <c r="D3589">
        <v>21</v>
      </c>
      <c r="E3589" t="s">
        <v>15</v>
      </c>
      <c r="F3589" t="s">
        <v>8635</v>
      </c>
      <c r="G3589">
        <v>3</v>
      </c>
      <c r="K3589" t="s">
        <v>20</v>
      </c>
      <c r="L3589" t="s">
        <v>1848</v>
      </c>
      <c r="M3589" s="3" t="str">
        <f>HYPERLINK("..\..\Imagery\ScannedPhotos\2004\CG04-060.2.jpg")</f>
        <v>..\..\Imagery\ScannedPhotos\2004\CG04-060.2.jpg</v>
      </c>
    </row>
    <row r="3590" spans="1:13" x14ac:dyDescent="0.25">
      <c r="A3590" t="s">
        <v>1846</v>
      </c>
      <c r="B3590">
        <v>534977</v>
      </c>
      <c r="C3590">
        <v>5833462</v>
      </c>
      <c r="D3590">
        <v>21</v>
      </c>
      <c r="E3590" t="s">
        <v>15</v>
      </c>
      <c r="F3590" t="s">
        <v>8636</v>
      </c>
      <c r="G3590">
        <v>3</v>
      </c>
      <c r="K3590" t="s">
        <v>228</v>
      </c>
      <c r="L3590" t="s">
        <v>8637</v>
      </c>
      <c r="M3590" s="3" t="str">
        <f>HYPERLINK("..\..\Imagery\ScannedPhotos\2004\CG04-060.3.jpg")</f>
        <v>..\..\Imagery\ScannedPhotos\2004\CG04-060.3.jpg</v>
      </c>
    </row>
    <row r="3591" spans="1:13" x14ac:dyDescent="0.25">
      <c r="A3591" t="s">
        <v>8638</v>
      </c>
      <c r="B3591">
        <v>536608</v>
      </c>
      <c r="C3591">
        <v>5833057</v>
      </c>
      <c r="D3591">
        <v>21</v>
      </c>
      <c r="E3591" t="s">
        <v>15</v>
      </c>
      <c r="F3591" t="s">
        <v>8639</v>
      </c>
      <c r="G3591">
        <v>1</v>
      </c>
      <c r="K3591" t="s">
        <v>20</v>
      </c>
      <c r="L3591" t="s">
        <v>8640</v>
      </c>
      <c r="M3591" s="3" t="str">
        <f>HYPERLINK("..\..\Imagery\ScannedPhotos\2004\CG04-062.jpg")</f>
        <v>..\..\Imagery\ScannedPhotos\2004\CG04-062.jpg</v>
      </c>
    </row>
    <row r="3592" spans="1:13" x14ac:dyDescent="0.25">
      <c r="A3592" t="s">
        <v>859</v>
      </c>
      <c r="B3592">
        <v>480915</v>
      </c>
      <c r="C3592">
        <v>5931165</v>
      </c>
      <c r="D3592">
        <v>21</v>
      </c>
      <c r="E3592" t="s">
        <v>15</v>
      </c>
      <c r="F3592" t="s">
        <v>8641</v>
      </c>
      <c r="G3592">
        <v>10</v>
      </c>
      <c r="H3592" t="s">
        <v>17</v>
      </c>
      <c r="I3592" t="s">
        <v>386</v>
      </c>
      <c r="J3592" t="s">
        <v>19</v>
      </c>
      <c r="K3592" t="s">
        <v>20</v>
      </c>
      <c r="L3592" t="s">
        <v>861</v>
      </c>
      <c r="M3592" s="3" t="str">
        <f>HYPERLINK("..\..\Imagery\ScannedPhotos\1984\CG84-436.9.jpg")</f>
        <v>..\..\Imagery\ScannedPhotos\1984\CG84-436.9.jpg</v>
      </c>
    </row>
    <row r="3593" spans="1:13" x14ac:dyDescent="0.25">
      <c r="A3593" t="s">
        <v>4905</v>
      </c>
      <c r="B3593">
        <v>489250</v>
      </c>
      <c r="C3593">
        <v>5934320</v>
      </c>
      <c r="D3593">
        <v>21</v>
      </c>
      <c r="E3593" t="s">
        <v>15</v>
      </c>
      <c r="F3593" t="s">
        <v>8642</v>
      </c>
      <c r="G3593">
        <v>3</v>
      </c>
      <c r="H3593" t="s">
        <v>3982</v>
      </c>
      <c r="I3593" t="s">
        <v>85</v>
      </c>
      <c r="J3593" t="s">
        <v>2247</v>
      </c>
      <c r="K3593" t="s">
        <v>20</v>
      </c>
      <c r="L3593" t="s">
        <v>8643</v>
      </c>
      <c r="M3593" s="3" t="str">
        <f>HYPERLINK("..\..\Imagery\ScannedPhotos\1984\CG84-437.3.jpg")</f>
        <v>..\..\Imagery\ScannedPhotos\1984\CG84-437.3.jpg</v>
      </c>
    </row>
    <row r="3594" spans="1:13" x14ac:dyDescent="0.25">
      <c r="A3594" t="s">
        <v>8644</v>
      </c>
      <c r="B3594">
        <v>517961</v>
      </c>
      <c r="C3594">
        <v>5892651</v>
      </c>
      <c r="D3594">
        <v>21</v>
      </c>
      <c r="E3594" t="s">
        <v>15</v>
      </c>
      <c r="F3594" t="s">
        <v>8645</v>
      </c>
      <c r="G3594">
        <v>3</v>
      </c>
      <c r="H3594" t="s">
        <v>2284</v>
      </c>
      <c r="I3594" t="s">
        <v>147</v>
      </c>
      <c r="J3594" t="s">
        <v>3136</v>
      </c>
      <c r="K3594" t="s">
        <v>20</v>
      </c>
      <c r="L3594" t="s">
        <v>8646</v>
      </c>
      <c r="M3594" s="3" t="str">
        <f>HYPERLINK("..\..\Imagery\ScannedPhotos\1985\CG85-132.1.jpg")</f>
        <v>..\..\Imagery\ScannedPhotos\1985\CG85-132.1.jpg</v>
      </c>
    </row>
    <row r="3595" spans="1:13" x14ac:dyDescent="0.25">
      <c r="A3595" t="s">
        <v>8629</v>
      </c>
      <c r="B3595">
        <v>401979</v>
      </c>
      <c r="C3595">
        <v>5990716</v>
      </c>
      <c r="D3595">
        <v>21</v>
      </c>
      <c r="E3595" t="s">
        <v>15</v>
      </c>
      <c r="F3595" t="s">
        <v>8647</v>
      </c>
      <c r="G3595">
        <v>2</v>
      </c>
      <c r="H3595" t="s">
        <v>1133</v>
      </c>
      <c r="I3595" t="s">
        <v>108</v>
      </c>
      <c r="J3595" t="s">
        <v>623</v>
      </c>
      <c r="K3595" t="s">
        <v>20</v>
      </c>
      <c r="L3595" t="s">
        <v>8648</v>
      </c>
      <c r="M3595" s="3" t="str">
        <f>HYPERLINK("..\..\Imagery\ScannedPhotos\1980\CG80-203.2.jpg")</f>
        <v>..\..\Imagery\ScannedPhotos\1980\CG80-203.2.jpg</v>
      </c>
    </row>
    <row r="3596" spans="1:13" x14ac:dyDescent="0.25">
      <c r="A3596" t="s">
        <v>8649</v>
      </c>
      <c r="B3596">
        <v>402315</v>
      </c>
      <c r="C3596">
        <v>5990825</v>
      </c>
      <c r="D3596">
        <v>21</v>
      </c>
      <c r="E3596" t="s">
        <v>15</v>
      </c>
      <c r="F3596" t="s">
        <v>8650</v>
      </c>
      <c r="G3596">
        <v>3</v>
      </c>
      <c r="H3596" t="s">
        <v>1133</v>
      </c>
      <c r="I3596" t="s">
        <v>132</v>
      </c>
      <c r="J3596" t="s">
        <v>623</v>
      </c>
      <c r="K3596" t="s">
        <v>20</v>
      </c>
      <c r="L3596" t="s">
        <v>8651</v>
      </c>
      <c r="M3596" s="3" t="str">
        <f>HYPERLINK("..\..\Imagery\ScannedPhotos\1980\CG80-204.1.jpg")</f>
        <v>..\..\Imagery\ScannedPhotos\1980\CG80-204.1.jpg</v>
      </c>
    </row>
    <row r="3597" spans="1:13" x14ac:dyDescent="0.25">
      <c r="A3597" t="s">
        <v>8649</v>
      </c>
      <c r="B3597">
        <v>402315</v>
      </c>
      <c r="C3597">
        <v>5990825</v>
      </c>
      <c r="D3597">
        <v>21</v>
      </c>
      <c r="E3597" t="s">
        <v>15</v>
      </c>
      <c r="F3597" t="s">
        <v>8652</v>
      </c>
      <c r="G3597">
        <v>3</v>
      </c>
      <c r="H3597" t="s">
        <v>1133</v>
      </c>
      <c r="I3597" t="s">
        <v>129</v>
      </c>
      <c r="J3597" t="s">
        <v>623</v>
      </c>
      <c r="K3597" t="s">
        <v>20</v>
      </c>
      <c r="L3597" t="s">
        <v>8653</v>
      </c>
      <c r="M3597" s="3" t="str">
        <f>HYPERLINK("..\..\Imagery\ScannedPhotos\1980\CG80-204.2.jpg")</f>
        <v>..\..\Imagery\ScannedPhotos\1980\CG80-204.2.jpg</v>
      </c>
    </row>
    <row r="3598" spans="1:13" x14ac:dyDescent="0.25">
      <c r="A3598" t="s">
        <v>8649</v>
      </c>
      <c r="B3598">
        <v>402315</v>
      </c>
      <c r="C3598">
        <v>5990825</v>
      </c>
      <c r="D3598">
        <v>21</v>
      </c>
      <c r="E3598" t="s">
        <v>15</v>
      </c>
      <c r="F3598" t="s">
        <v>8654</v>
      </c>
      <c r="G3598">
        <v>3</v>
      </c>
      <c r="H3598" t="s">
        <v>1133</v>
      </c>
      <c r="I3598" t="s">
        <v>143</v>
      </c>
      <c r="J3598" t="s">
        <v>623</v>
      </c>
      <c r="K3598" t="s">
        <v>20</v>
      </c>
      <c r="L3598" t="s">
        <v>8653</v>
      </c>
      <c r="M3598" s="3" t="str">
        <f>HYPERLINK("..\..\Imagery\ScannedPhotos\1980\CG80-204.3.jpg")</f>
        <v>..\..\Imagery\ScannedPhotos\1980\CG80-204.3.jpg</v>
      </c>
    </row>
    <row r="3599" spans="1:13" x14ac:dyDescent="0.25">
      <c r="A3599" t="s">
        <v>3746</v>
      </c>
      <c r="B3599">
        <v>566103</v>
      </c>
      <c r="C3599">
        <v>5837012</v>
      </c>
      <c r="D3599">
        <v>21</v>
      </c>
      <c r="E3599" t="s">
        <v>15</v>
      </c>
      <c r="F3599" t="s">
        <v>8655</v>
      </c>
      <c r="G3599">
        <v>13</v>
      </c>
      <c r="K3599" t="s">
        <v>20</v>
      </c>
      <c r="L3599" t="s">
        <v>3755</v>
      </c>
      <c r="M3599" s="3" t="str">
        <f>HYPERLINK("..\..\Imagery\ScannedPhotos\2004\CG04-106.12.jpg")</f>
        <v>..\..\Imagery\ScannedPhotos\2004\CG04-106.12.jpg</v>
      </c>
    </row>
    <row r="3600" spans="1:13" x14ac:dyDescent="0.25">
      <c r="A3600" t="s">
        <v>3746</v>
      </c>
      <c r="B3600">
        <v>566103</v>
      </c>
      <c r="C3600">
        <v>5837012</v>
      </c>
      <c r="D3600">
        <v>21</v>
      </c>
      <c r="E3600" t="s">
        <v>15</v>
      </c>
      <c r="F3600" t="s">
        <v>8656</v>
      </c>
      <c r="G3600">
        <v>13</v>
      </c>
      <c r="K3600" t="s">
        <v>56</v>
      </c>
      <c r="L3600" t="s">
        <v>8657</v>
      </c>
      <c r="M3600" s="3" t="str">
        <f>HYPERLINK("..\..\Imagery\ScannedPhotos\2004\CG04-106.13.jpg")</f>
        <v>..\..\Imagery\ScannedPhotos\2004\CG04-106.13.jpg</v>
      </c>
    </row>
    <row r="3601" spans="1:13" x14ac:dyDescent="0.25">
      <c r="A3601" t="s">
        <v>8658</v>
      </c>
      <c r="B3601">
        <v>566999</v>
      </c>
      <c r="C3601">
        <v>5836600</v>
      </c>
      <c r="D3601">
        <v>21</v>
      </c>
      <c r="E3601" t="s">
        <v>15</v>
      </c>
      <c r="F3601" t="s">
        <v>8659</v>
      </c>
      <c r="G3601">
        <v>1</v>
      </c>
      <c r="K3601" t="s">
        <v>56</v>
      </c>
      <c r="L3601" t="s">
        <v>8660</v>
      </c>
      <c r="M3601" s="3" t="str">
        <f>HYPERLINK("..\..\Imagery\ScannedPhotos\2004\CG04-109.jpg")</f>
        <v>..\..\Imagery\ScannedPhotos\2004\CG04-109.jpg</v>
      </c>
    </row>
    <row r="3602" spans="1:13" x14ac:dyDescent="0.25">
      <c r="A3602" t="s">
        <v>1911</v>
      </c>
      <c r="B3602">
        <v>413177</v>
      </c>
      <c r="C3602">
        <v>5871511</v>
      </c>
      <c r="D3602">
        <v>21</v>
      </c>
      <c r="E3602" t="s">
        <v>15</v>
      </c>
      <c r="F3602" t="s">
        <v>8661</v>
      </c>
      <c r="G3602">
        <v>7</v>
      </c>
      <c r="H3602" t="s">
        <v>1913</v>
      </c>
      <c r="I3602" t="s">
        <v>214</v>
      </c>
      <c r="J3602" t="s">
        <v>771</v>
      </c>
      <c r="K3602" t="s">
        <v>535</v>
      </c>
      <c r="L3602" t="s">
        <v>8662</v>
      </c>
      <c r="M3602" s="3" t="str">
        <f>HYPERLINK("..\..\Imagery\ScannedPhotos\1997\CG97-066.5.jpg")</f>
        <v>..\..\Imagery\ScannedPhotos\1997\CG97-066.5.jpg</v>
      </c>
    </row>
    <row r="3603" spans="1:13" x14ac:dyDescent="0.25">
      <c r="A3603" t="s">
        <v>8663</v>
      </c>
      <c r="B3603">
        <v>482966</v>
      </c>
      <c r="C3603">
        <v>6035558</v>
      </c>
      <c r="D3603">
        <v>21</v>
      </c>
      <c r="E3603" t="s">
        <v>15</v>
      </c>
      <c r="F3603" t="s">
        <v>8664</v>
      </c>
      <c r="G3603">
        <v>5</v>
      </c>
      <c r="H3603" t="s">
        <v>4136</v>
      </c>
      <c r="I3603" t="s">
        <v>47</v>
      </c>
      <c r="J3603" t="s">
        <v>423</v>
      </c>
      <c r="K3603" t="s">
        <v>20</v>
      </c>
      <c r="L3603" t="s">
        <v>5490</v>
      </c>
      <c r="M3603" s="3" t="str">
        <f>HYPERLINK("..\..\Imagery\ScannedPhotos\1979\CG79-375.5.jpg")</f>
        <v>..\..\Imagery\ScannedPhotos\1979\CG79-375.5.jpg</v>
      </c>
    </row>
    <row r="3604" spans="1:13" x14ac:dyDescent="0.25">
      <c r="A3604" t="s">
        <v>38</v>
      </c>
      <c r="B3604">
        <v>491125</v>
      </c>
      <c r="C3604">
        <v>5842150</v>
      </c>
      <c r="D3604">
        <v>21</v>
      </c>
      <c r="E3604" t="s">
        <v>15</v>
      </c>
      <c r="F3604" t="s">
        <v>8665</v>
      </c>
      <c r="G3604">
        <v>2</v>
      </c>
      <c r="H3604" t="s">
        <v>40</v>
      </c>
      <c r="I3604" t="s">
        <v>74</v>
      </c>
      <c r="J3604" t="s">
        <v>42</v>
      </c>
      <c r="K3604" t="s">
        <v>20</v>
      </c>
      <c r="L3604" t="s">
        <v>43</v>
      </c>
      <c r="M3604" s="3" t="str">
        <f>HYPERLINK("..\..\Imagery\ScannedPhotos\1991\DD91-047.1.jpg")</f>
        <v>..\..\Imagery\ScannedPhotos\1991\DD91-047.1.jpg</v>
      </c>
    </row>
    <row r="3605" spans="1:13" x14ac:dyDescent="0.25">
      <c r="A3605" t="s">
        <v>1989</v>
      </c>
      <c r="B3605">
        <v>537953</v>
      </c>
      <c r="C3605">
        <v>5729879</v>
      </c>
      <c r="D3605">
        <v>21</v>
      </c>
      <c r="E3605" t="s">
        <v>15</v>
      </c>
      <c r="F3605" t="s">
        <v>8666</v>
      </c>
      <c r="G3605">
        <v>5</v>
      </c>
      <c r="H3605" t="s">
        <v>1061</v>
      </c>
      <c r="I3605" t="s">
        <v>132</v>
      </c>
      <c r="J3605" t="s">
        <v>1062</v>
      </c>
      <c r="K3605" t="s">
        <v>56</v>
      </c>
      <c r="L3605" t="s">
        <v>8667</v>
      </c>
      <c r="M3605" s="3" t="str">
        <f>HYPERLINK("..\..\Imagery\ScannedPhotos\1993\CG93-034.1.jpg")</f>
        <v>..\..\Imagery\ScannedPhotos\1993\CG93-034.1.jpg</v>
      </c>
    </row>
    <row r="3606" spans="1:13" x14ac:dyDescent="0.25">
      <c r="A3606" t="s">
        <v>7403</v>
      </c>
      <c r="B3606">
        <v>586168</v>
      </c>
      <c r="C3606">
        <v>5897856</v>
      </c>
      <c r="D3606">
        <v>21</v>
      </c>
      <c r="E3606" t="s">
        <v>15</v>
      </c>
      <c r="F3606" t="s">
        <v>8668</v>
      </c>
      <c r="G3606">
        <v>3</v>
      </c>
      <c r="H3606" t="s">
        <v>1994</v>
      </c>
      <c r="I3606" t="s">
        <v>137</v>
      </c>
      <c r="J3606" t="s">
        <v>138</v>
      </c>
      <c r="K3606" t="s">
        <v>56</v>
      </c>
      <c r="L3606" t="s">
        <v>7405</v>
      </c>
      <c r="M3606" s="3" t="str">
        <f>HYPERLINK("..\..\Imagery\ScannedPhotos\1985\GM85-582.3.jpg")</f>
        <v>..\..\Imagery\ScannedPhotos\1985\GM85-582.3.jpg</v>
      </c>
    </row>
    <row r="3607" spans="1:13" x14ac:dyDescent="0.25">
      <c r="A3607" t="s">
        <v>1992</v>
      </c>
      <c r="B3607">
        <v>586137</v>
      </c>
      <c r="C3607">
        <v>5898017</v>
      </c>
      <c r="D3607">
        <v>21</v>
      </c>
      <c r="E3607" t="s">
        <v>15</v>
      </c>
      <c r="F3607" t="s">
        <v>8669</v>
      </c>
      <c r="G3607">
        <v>6</v>
      </c>
      <c r="H3607" t="s">
        <v>1994</v>
      </c>
      <c r="I3607" t="s">
        <v>74</v>
      </c>
      <c r="J3607" t="s">
        <v>138</v>
      </c>
      <c r="K3607" t="s">
        <v>20</v>
      </c>
      <c r="L3607" t="s">
        <v>2730</v>
      </c>
      <c r="M3607" s="3" t="str">
        <f>HYPERLINK("..\..\Imagery\ScannedPhotos\1985\GM85-583.4.jpg")</f>
        <v>..\..\Imagery\ScannedPhotos\1985\GM85-583.4.jpg</v>
      </c>
    </row>
    <row r="3608" spans="1:13" x14ac:dyDescent="0.25">
      <c r="A3608" t="s">
        <v>1992</v>
      </c>
      <c r="B3608">
        <v>586137</v>
      </c>
      <c r="C3608">
        <v>5898017</v>
      </c>
      <c r="D3608">
        <v>21</v>
      </c>
      <c r="E3608" t="s">
        <v>15</v>
      </c>
      <c r="F3608" t="s">
        <v>8670</v>
      </c>
      <c r="G3608">
        <v>6</v>
      </c>
      <c r="H3608" t="s">
        <v>1994</v>
      </c>
      <c r="I3608" t="s">
        <v>41</v>
      </c>
      <c r="J3608" t="s">
        <v>138</v>
      </c>
      <c r="K3608" t="s">
        <v>20</v>
      </c>
      <c r="L3608" t="s">
        <v>2730</v>
      </c>
      <c r="M3608" s="3" t="str">
        <f>HYPERLINK("..\..\Imagery\ScannedPhotos\1985\GM85-583.5.jpg")</f>
        <v>..\..\Imagery\ScannedPhotos\1985\GM85-583.5.jpg</v>
      </c>
    </row>
    <row r="3609" spans="1:13" x14ac:dyDescent="0.25">
      <c r="A3609" t="s">
        <v>8671</v>
      </c>
      <c r="B3609">
        <v>552793</v>
      </c>
      <c r="C3609">
        <v>5934156</v>
      </c>
      <c r="D3609">
        <v>21</v>
      </c>
      <c r="E3609" t="s">
        <v>15</v>
      </c>
      <c r="F3609" t="s">
        <v>8672</v>
      </c>
      <c r="G3609">
        <v>2</v>
      </c>
      <c r="H3609" t="s">
        <v>1659</v>
      </c>
      <c r="I3609" t="s">
        <v>108</v>
      </c>
      <c r="J3609" t="s">
        <v>48</v>
      </c>
      <c r="K3609" t="s">
        <v>20</v>
      </c>
      <c r="L3609" t="s">
        <v>8673</v>
      </c>
      <c r="M3609" s="3" t="str">
        <f>HYPERLINK("..\..\Imagery\ScannedPhotos\1981\GF81-329.2.jpg")</f>
        <v>..\..\Imagery\ScannedPhotos\1981\GF81-329.2.jpg</v>
      </c>
    </row>
    <row r="3610" spans="1:13" x14ac:dyDescent="0.25">
      <c r="A3610" t="s">
        <v>8674</v>
      </c>
      <c r="B3610">
        <v>440654</v>
      </c>
      <c r="C3610">
        <v>5774645</v>
      </c>
      <c r="D3610">
        <v>21</v>
      </c>
      <c r="E3610" t="s">
        <v>15</v>
      </c>
      <c r="F3610" t="s">
        <v>8675</v>
      </c>
      <c r="G3610">
        <v>2</v>
      </c>
      <c r="H3610" t="s">
        <v>2563</v>
      </c>
      <c r="I3610" t="s">
        <v>195</v>
      </c>
      <c r="J3610" t="s">
        <v>905</v>
      </c>
      <c r="K3610" t="s">
        <v>20</v>
      </c>
      <c r="L3610" t="s">
        <v>8676</v>
      </c>
      <c r="M3610" s="3" t="str">
        <f>HYPERLINK("..\..\Imagery\ScannedPhotos\1992\JA92-126.1.jpg")</f>
        <v>..\..\Imagery\ScannedPhotos\1992\JA92-126.1.jpg</v>
      </c>
    </row>
    <row r="3611" spans="1:13" x14ac:dyDescent="0.25">
      <c r="A3611" t="s">
        <v>8677</v>
      </c>
      <c r="B3611">
        <v>530310</v>
      </c>
      <c r="C3611">
        <v>5731590</v>
      </c>
      <c r="D3611">
        <v>21</v>
      </c>
      <c r="E3611" t="s">
        <v>15</v>
      </c>
      <c r="F3611" t="s">
        <v>8678</v>
      </c>
      <c r="G3611">
        <v>1</v>
      </c>
      <c r="H3611" t="s">
        <v>1061</v>
      </c>
      <c r="I3611" t="s">
        <v>94</v>
      </c>
      <c r="J3611" t="s">
        <v>1062</v>
      </c>
      <c r="K3611" t="s">
        <v>56</v>
      </c>
      <c r="L3611" t="s">
        <v>6906</v>
      </c>
      <c r="M3611" s="3" t="str">
        <f>HYPERLINK("..\..\Imagery\ScannedPhotos\1993\CG93-016.jpg")</f>
        <v>..\..\Imagery\ScannedPhotos\1993\CG93-016.jpg</v>
      </c>
    </row>
    <row r="3612" spans="1:13" x14ac:dyDescent="0.25">
      <c r="A3612" t="s">
        <v>4582</v>
      </c>
      <c r="B3612">
        <v>435203</v>
      </c>
      <c r="C3612">
        <v>5870212</v>
      </c>
      <c r="D3612">
        <v>21</v>
      </c>
      <c r="E3612" t="s">
        <v>15</v>
      </c>
      <c r="F3612" t="s">
        <v>8679</v>
      </c>
      <c r="G3612">
        <v>3</v>
      </c>
      <c r="H3612" t="s">
        <v>2521</v>
      </c>
      <c r="I3612" t="s">
        <v>114</v>
      </c>
      <c r="J3612" t="s">
        <v>2522</v>
      </c>
      <c r="K3612" t="s">
        <v>20</v>
      </c>
      <c r="L3612" t="s">
        <v>4584</v>
      </c>
      <c r="M3612" s="3" t="str">
        <f>HYPERLINK("..\..\Imagery\ScannedPhotos\1991\VN91-416.3.jpg")</f>
        <v>..\..\Imagery\ScannedPhotos\1991\VN91-416.3.jpg</v>
      </c>
    </row>
    <row r="3613" spans="1:13" x14ac:dyDescent="0.25">
      <c r="A3613" t="s">
        <v>5779</v>
      </c>
      <c r="B3613">
        <v>434106</v>
      </c>
      <c r="C3613">
        <v>5867166</v>
      </c>
      <c r="D3613">
        <v>21</v>
      </c>
      <c r="E3613" t="s">
        <v>15</v>
      </c>
      <c r="F3613" t="s">
        <v>8680</v>
      </c>
      <c r="G3613">
        <v>2</v>
      </c>
      <c r="H3613" t="s">
        <v>2521</v>
      </c>
      <c r="I3613" t="s">
        <v>122</v>
      </c>
      <c r="J3613" t="s">
        <v>2522</v>
      </c>
      <c r="K3613" t="s">
        <v>20</v>
      </c>
      <c r="L3613" t="s">
        <v>8681</v>
      </c>
      <c r="M3613" s="3" t="str">
        <f>HYPERLINK("..\..\Imagery\ScannedPhotos\1991\VN91-423.1.jpg")</f>
        <v>..\..\Imagery\ScannedPhotos\1991\VN91-423.1.jpg</v>
      </c>
    </row>
    <row r="3614" spans="1:13" x14ac:dyDescent="0.25">
      <c r="A3614" t="s">
        <v>5814</v>
      </c>
      <c r="B3614">
        <v>579798</v>
      </c>
      <c r="C3614">
        <v>5764153</v>
      </c>
      <c r="D3614">
        <v>21</v>
      </c>
      <c r="E3614" t="s">
        <v>15</v>
      </c>
      <c r="F3614" t="s">
        <v>8682</v>
      </c>
      <c r="G3614">
        <v>3</v>
      </c>
      <c r="H3614" t="s">
        <v>2916</v>
      </c>
      <c r="I3614" t="s">
        <v>126</v>
      </c>
      <c r="J3614" t="s">
        <v>797</v>
      </c>
      <c r="K3614" t="s">
        <v>20</v>
      </c>
      <c r="L3614" t="s">
        <v>8683</v>
      </c>
      <c r="M3614" s="3" t="str">
        <f>HYPERLINK("..\..\Imagery\ScannedPhotos\1987\VN87-328.3.jpg")</f>
        <v>..\..\Imagery\ScannedPhotos\1987\VN87-328.3.jpg</v>
      </c>
    </row>
    <row r="3615" spans="1:13" x14ac:dyDescent="0.25">
      <c r="A3615" t="s">
        <v>8684</v>
      </c>
      <c r="B3615">
        <v>580604</v>
      </c>
      <c r="C3615">
        <v>5764455</v>
      </c>
      <c r="D3615">
        <v>21</v>
      </c>
      <c r="E3615" t="s">
        <v>15</v>
      </c>
      <c r="F3615" t="s">
        <v>8685</v>
      </c>
      <c r="G3615">
        <v>2</v>
      </c>
      <c r="H3615" t="s">
        <v>2916</v>
      </c>
      <c r="I3615" t="s">
        <v>108</v>
      </c>
      <c r="J3615" t="s">
        <v>797</v>
      </c>
      <c r="K3615" t="s">
        <v>20</v>
      </c>
      <c r="L3615" t="s">
        <v>3217</v>
      </c>
      <c r="M3615" s="3" t="str">
        <f>HYPERLINK("..\..\Imagery\ScannedPhotos\1987\VN87-330.1.jpg")</f>
        <v>..\..\Imagery\ScannedPhotos\1987\VN87-330.1.jpg</v>
      </c>
    </row>
    <row r="3616" spans="1:13" x14ac:dyDescent="0.25">
      <c r="A3616" t="s">
        <v>8684</v>
      </c>
      <c r="B3616">
        <v>580604</v>
      </c>
      <c r="C3616">
        <v>5764455</v>
      </c>
      <c r="D3616">
        <v>21</v>
      </c>
      <c r="E3616" t="s">
        <v>15</v>
      </c>
      <c r="F3616" t="s">
        <v>8686</v>
      </c>
      <c r="G3616">
        <v>2</v>
      </c>
      <c r="H3616" t="s">
        <v>2916</v>
      </c>
      <c r="I3616" t="s">
        <v>132</v>
      </c>
      <c r="J3616" t="s">
        <v>797</v>
      </c>
      <c r="K3616" t="s">
        <v>20</v>
      </c>
      <c r="L3616" t="s">
        <v>8687</v>
      </c>
      <c r="M3616" s="3" t="str">
        <f>HYPERLINK("..\..\Imagery\ScannedPhotos\1987\VN87-330.2.jpg")</f>
        <v>..\..\Imagery\ScannedPhotos\1987\VN87-330.2.jpg</v>
      </c>
    </row>
    <row r="3617" spans="1:13" x14ac:dyDescent="0.25">
      <c r="A3617" t="s">
        <v>8688</v>
      </c>
      <c r="B3617">
        <v>581082</v>
      </c>
      <c r="C3617">
        <v>5764029</v>
      </c>
      <c r="D3617">
        <v>21</v>
      </c>
      <c r="E3617" t="s">
        <v>15</v>
      </c>
      <c r="F3617" t="s">
        <v>8689</v>
      </c>
      <c r="G3617">
        <v>1</v>
      </c>
      <c r="H3617" t="s">
        <v>2916</v>
      </c>
      <c r="I3617" t="s">
        <v>129</v>
      </c>
      <c r="J3617" t="s">
        <v>797</v>
      </c>
      <c r="K3617" t="s">
        <v>20</v>
      </c>
      <c r="L3617" t="s">
        <v>8690</v>
      </c>
      <c r="M3617" s="3" t="str">
        <f>HYPERLINK("..\..\Imagery\ScannedPhotos\1987\VN87-332.jpg")</f>
        <v>..\..\Imagery\ScannedPhotos\1987\VN87-332.jpg</v>
      </c>
    </row>
    <row r="3618" spans="1:13" x14ac:dyDescent="0.25">
      <c r="A3618" t="s">
        <v>8691</v>
      </c>
      <c r="B3618">
        <v>581035</v>
      </c>
      <c r="C3618">
        <v>5763724</v>
      </c>
      <c r="D3618">
        <v>21</v>
      </c>
      <c r="E3618" t="s">
        <v>15</v>
      </c>
      <c r="F3618" t="s">
        <v>8692</v>
      </c>
      <c r="G3618">
        <v>2</v>
      </c>
      <c r="H3618" t="s">
        <v>2916</v>
      </c>
      <c r="I3618" t="s">
        <v>147</v>
      </c>
      <c r="J3618" t="s">
        <v>797</v>
      </c>
      <c r="K3618" t="s">
        <v>20</v>
      </c>
      <c r="L3618" t="s">
        <v>8693</v>
      </c>
      <c r="M3618" s="3" t="str">
        <f>HYPERLINK("..\..\Imagery\ScannedPhotos\1987\VN87-333.2.jpg")</f>
        <v>..\..\Imagery\ScannedPhotos\1987\VN87-333.2.jpg</v>
      </c>
    </row>
    <row r="3619" spans="1:13" x14ac:dyDescent="0.25">
      <c r="A3619" t="s">
        <v>8691</v>
      </c>
      <c r="B3619">
        <v>581035</v>
      </c>
      <c r="C3619">
        <v>5763724</v>
      </c>
      <c r="D3619">
        <v>21</v>
      </c>
      <c r="E3619" t="s">
        <v>15</v>
      </c>
      <c r="F3619" t="s">
        <v>8694</v>
      </c>
      <c r="G3619">
        <v>2</v>
      </c>
      <c r="H3619" t="s">
        <v>2916</v>
      </c>
      <c r="I3619" t="s">
        <v>143</v>
      </c>
      <c r="J3619" t="s">
        <v>797</v>
      </c>
      <c r="K3619" t="s">
        <v>20</v>
      </c>
      <c r="L3619" t="s">
        <v>8693</v>
      </c>
      <c r="M3619" s="3" t="str">
        <f>HYPERLINK("..\..\Imagery\ScannedPhotos\1987\VN87-333.1.jpg")</f>
        <v>..\..\Imagery\ScannedPhotos\1987\VN87-333.1.jpg</v>
      </c>
    </row>
    <row r="3620" spans="1:13" x14ac:dyDescent="0.25">
      <c r="A3620" t="s">
        <v>8695</v>
      </c>
      <c r="B3620">
        <v>530043</v>
      </c>
      <c r="C3620">
        <v>5807759</v>
      </c>
      <c r="D3620">
        <v>21</v>
      </c>
      <c r="E3620" t="s">
        <v>15</v>
      </c>
      <c r="F3620" t="s">
        <v>8696</v>
      </c>
      <c r="G3620">
        <v>1</v>
      </c>
      <c r="H3620" t="s">
        <v>308</v>
      </c>
      <c r="I3620" t="s">
        <v>386</v>
      </c>
      <c r="J3620" t="s">
        <v>309</v>
      </c>
      <c r="K3620" t="s">
        <v>20</v>
      </c>
      <c r="L3620" t="s">
        <v>8697</v>
      </c>
      <c r="M3620" s="3" t="str">
        <f>HYPERLINK("..\..\Imagery\ScannedPhotos\1987\VN87-019.jpg")</f>
        <v>..\..\Imagery\ScannedPhotos\1987\VN87-019.jpg</v>
      </c>
    </row>
    <row r="3621" spans="1:13" x14ac:dyDescent="0.25">
      <c r="A3621" t="s">
        <v>8698</v>
      </c>
      <c r="B3621">
        <v>527033</v>
      </c>
      <c r="C3621">
        <v>5803122</v>
      </c>
      <c r="D3621">
        <v>21</v>
      </c>
      <c r="E3621" t="s">
        <v>15</v>
      </c>
      <c r="F3621" t="s">
        <v>8699</v>
      </c>
      <c r="G3621">
        <v>1</v>
      </c>
      <c r="H3621" t="s">
        <v>308</v>
      </c>
      <c r="I3621" t="s">
        <v>217</v>
      </c>
      <c r="J3621" t="s">
        <v>309</v>
      </c>
      <c r="K3621" t="s">
        <v>20</v>
      </c>
      <c r="L3621" t="s">
        <v>8700</v>
      </c>
      <c r="M3621" s="3" t="str">
        <f>HYPERLINK("..\..\Imagery\ScannedPhotos\1987\VN87-025.jpg")</f>
        <v>..\..\Imagery\ScannedPhotos\1987\VN87-025.jpg</v>
      </c>
    </row>
    <row r="3622" spans="1:13" x14ac:dyDescent="0.25">
      <c r="A3622" t="s">
        <v>8701</v>
      </c>
      <c r="B3622">
        <v>507921</v>
      </c>
      <c r="C3622">
        <v>5813319</v>
      </c>
      <c r="D3622">
        <v>21</v>
      </c>
      <c r="E3622" t="s">
        <v>15</v>
      </c>
      <c r="F3622" t="s">
        <v>8702</v>
      </c>
      <c r="G3622">
        <v>1</v>
      </c>
      <c r="H3622" t="s">
        <v>308</v>
      </c>
      <c r="I3622" t="s">
        <v>214</v>
      </c>
      <c r="J3622" t="s">
        <v>309</v>
      </c>
      <c r="K3622" t="s">
        <v>20</v>
      </c>
      <c r="L3622" t="s">
        <v>8703</v>
      </c>
      <c r="M3622" s="3" t="str">
        <f>HYPERLINK("..\..\Imagery\ScannedPhotos\1987\VN87-029.jpg")</f>
        <v>..\..\Imagery\ScannedPhotos\1987\VN87-029.jpg</v>
      </c>
    </row>
    <row r="3623" spans="1:13" x14ac:dyDescent="0.25">
      <c r="A3623" t="s">
        <v>8704</v>
      </c>
      <c r="B3623">
        <v>393441</v>
      </c>
      <c r="C3623">
        <v>5982602</v>
      </c>
      <c r="D3623">
        <v>21</v>
      </c>
      <c r="E3623" t="s">
        <v>15</v>
      </c>
      <c r="F3623" t="s">
        <v>8705</v>
      </c>
      <c r="G3623">
        <v>2</v>
      </c>
      <c r="H3623" t="s">
        <v>1316</v>
      </c>
      <c r="I3623" t="s">
        <v>65</v>
      </c>
      <c r="J3623" t="s">
        <v>978</v>
      </c>
      <c r="K3623" t="s">
        <v>20</v>
      </c>
      <c r="L3623" t="s">
        <v>8706</v>
      </c>
      <c r="M3623" s="3" t="str">
        <f>HYPERLINK("..\..\Imagery\ScannedPhotos\1980\NN80-252.2.jpg")</f>
        <v>..\..\Imagery\ScannedPhotos\1980\NN80-252.2.jpg</v>
      </c>
    </row>
    <row r="3624" spans="1:13" x14ac:dyDescent="0.25">
      <c r="A3624" t="s">
        <v>8264</v>
      </c>
      <c r="B3624">
        <v>527913</v>
      </c>
      <c r="C3624">
        <v>5880687</v>
      </c>
      <c r="D3624">
        <v>21</v>
      </c>
      <c r="E3624" t="s">
        <v>15</v>
      </c>
      <c r="F3624" t="s">
        <v>8707</v>
      </c>
      <c r="G3624">
        <v>3</v>
      </c>
      <c r="H3624" t="s">
        <v>8266</v>
      </c>
      <c r="I3624" t="s">
        <v>79</v>
      </c>
      <c r="J3624" t="s">
        <v>1583</v>
      </c>
      <c r="K3624" t="s">
        <v>20</v>
      </c>
      <c r="L3624" t="s">
        <v>8267</v>
      </c>
      <c r="M3624" s="3" t="str">
        <f>HYPERLINK("..\..\Imagery\ScannedPhotos\1985\LC85-002.2.jpg")</f>
        <v>..\..\Imagery\ScannedPhotos\1985\LC85-002.2.jpg</v>
      </c>
    </row>
    <row r="3625" spans="1:13" x14ac:dyDescent="0.25">
      <c r="A3625" t="s">
        <v>4186</v>
      </c>
      <c r="B3625">
        <v>423913</v>
      </c>
      <c r="C3625">
        <v>5891064</v>
      </c>
      <c r="D3625">
        <v>21</v>
      </c>
      <c r="E3625" t="s">
        <v>15</v>
      </c>
      <c r="F3625" t="s">
        <v>8708</v>
      </c>
      <c r="G3625">
        <v>3</v>
      </c>
      <c r="H3625" t="s">
        <v>1251</v>
      </c>
      <c r="I3625" t="s">
        <v>214</v>
      </c>
      <c r="J3625" t="s">
        <v>563</v>
      </c>
      <c r="K3625" t="s">
        <v>20</v>
      </c>
      <c r="L3625" t="s">
        <v>8709</v>
      </c>
      <c r="M3625" s="3" t="str">
        <f>HYPERLINK("..\..\Imagery\ScannedPhotos\1995\VN95-015.2.jpg")</f>
        <v>..\..\Imagery\ScannedPhotos\1995\VN95-015.2.jpg</v>
      </c>
    </row>
    <row r="3626" spans="1:13" x14ac:dyDescent="0.25">
      <c r="A3626" t="s">
        <v>2056</v>
      </c>
      <c r="B3626">
        <v>447200</v>
      </c>
      <c r="C3626">
        <v>5924550</v>
      </c>
      <c r="D3626">
        <v>21</v>
      </c>
      <c r="E3626" t="s">
        <v>15</v>
      </c>
      <c r="F3626" t="s">
        <v>8710</v>
      </c>
      <c r="G3626">
        <v>7</v>
      </c>
      <c r="H3626" t="s">
        <v>1604</v>
      </c>
      <c r="I3626" t="s">
        <v>74</v>
      </c>
      <c r="J3626" t="s">
        <v>1605</v>
      </c>
      <c r="K3626" t="s">
        <v>20</v>
      </c>
      <c r="L3626" t="s">
        <v>2058</v>
      </c>
      <c r="M3626" s="3" t="str">
        <f>HYPERLINK("..\..\Imagery\ScannedPhotos\1985\CG85-309.7.jpg")</f>
        <v>..\..\Imagery\ScannedPhotos\1985\CG85-309.7.jpg</v>
      </c>
    </row>
    <row r="3627" spans="1:13" x14ac:dyDescent="0.25">
      <c r="A3627" t="s">
        <v>8711</v>
      </c>
      <c r="B3627">
        <v>461118</v>
      </c>
      <c r="C3627">
        <v>5896959</v>
      </c>
      <c r="D3627">
        <v>21</v>
      </c>
      <c r="E3627" t="s">
        <v>15</v>
      </c>
      <c r="F3627" t="s">
        <v>8712</v>
      </c>
      <c r="G3627">
        <v>1</v>
      </c>
      <c r="H3627" t="s">
        <v>2395</v>
      </c>
      <c r="I3627" t="s">
        <v>74</v>
      </c>
      <c r="J3627" t="s">
        <v>2247</v>
      </c>
      <c r="K3627" t="s">
        <v>20</v>
      </c>
      <c r="L3627" t="s">
        <v>8713</v>
      </c>
      <c r="M3627" s="3" t="str">
        <f>HYPERLINK("..\..\Imagery\ScannedPhotos\1984\VN84-458.jpg")</f>
        <v>..\..\Imagery\ScannedPhotos\1984\VN84-458.jpg</v>
      </c>
    </row>
    <row r="3628" spans="1:13" x14ac:dyDescent="0.25">
      <c r="A3628" t="s">
        <v>8714</v>
      </c>
      <c r="B3628">
        <v>459325</v>
      </c>
      <c r="C3628">
        <v>5893242</v>
      </c>
      <c r="D3628">
        <v>21</v>
      </c>
      <c r="E3628" t="s">
        <v>15</v>
      </c>
      <c r="F3628" t="s">
        <v>8715</v>
      </c>
      <c r="G3628">
        <v>1</v>
      </c>
      <c r="H3628" t="s">
        <v>2395</v>
      </c>
      <c r="I3628" t="s">
        <v>85</v>
      </c>
      <c r="J3628" t="s">
        <v>2247</v>
      </c>
      <c r="K3628" t="s">
        <v>20</v>
      </c>
      <c r="L3628" t="s">
        <v>8716</v>
      </c>
      <c r="M3628" s="3" t="str">
        <f>HYPERLINK("..\..\Imagery\ScannedPhotos\1984\VN84-473.jpg")</f>
        <v>..\..\Imagery\ScannedPhotos\1984\VN84-473.jpg</v>
      </c>
    </row>
    <row r="3629" spans="1:13" x14ac:dyDescent="0.25">
      <c r="A3629" t="s">
        <v>8717</v>
      </c>
      <c r="B3629">
        <v>459331</v>
      </c>
      <c r="C3629">
        <v>5893136</v>
      </c>
      <c r="D3629">
        <v>21</v>
      </c>
      <c r="E3629" t="s">
        <v>15</v>
      </c>
      <c r="F3629" t="s">
        <v>8718</v>
      </c>
      <c r="G3629">
        <v>1</v>
      </c>
      <c r="H3629" t="s">
        <v>2395</v>
      </c>
      <c r="I3629" t="s">
        <v>375</v>
      </c>
      <c r="J3629" t="s">
        <v>2247</v>
      </c>
      <c r="K3629" t="s">
        <v>20</v>
      </c>
      <c r="L3629" t="s">
        <v>8719</v>
      </c>
      <c r="M3629" s="3" t="str">
        <f>HYPERLINK("..\..\Imagery\ScannedPhotos\1984\VN84-474.jpg")</f>
        <v>..\..\Imagery\ScannedPhotos\1984\VN84-474.jpg</v>
      </c>
    </row>
    <row r="3630" spans="1:13" x14ac:dyDescent="0.25">
      <c r="A3630" t="s">
        <v>6697</v>
      </c>
      <c r="B3630">
        <v>457902</v>
      </c>
      <c r="C3630">
        <v>5885144</v>
      </c>
      <c r="D3630">
        <v>21</v>
      </c>
      <c r="E3630" t="s">
        <v>15</v>
      </c>
      <c r="F3630" t="s">
        <v>8720</v>
      </c>
      <c r="G3630">
        <v>3</v>
      </c>
      <c r="H3630" t="s">
        <v>2395</v>
      </c>
      <c r="I3630" t="s">
        <v>386</v>
      </c>
      <c r="J3630" t="s">
        <v>2247</v>
      </c>
      <c r="K3630" t="s">
        <v>56</v>
      </c>
      <c r="L3630" t="s">
        <v>6701</v>
      </c>
      <c r="M3630" s="3" t="str">
        <f>HYPERLINK("..\..\Imagery\ScannedPhotos\1984\VN84-505.2.jpg")</f>
        <v>..\..\Imagery\ScannedPhotos\1984\VN84-505.2.jpg</v>
      </c>
    </row>
    <row r="3631" spans="1:13" x14ac:dyDescent="0.25">
      <c r="A3631" t="s">
        <v>8721</v>
      </c>
      <c r="B3631">
        <v>421043</v>
      </c>
      <c r="C3631">
        <v>6009263</v>
      </c>
      <c r="D3631">
        <v>21</v>
      </c>
      <c r="E3631" t="s">
        <v>15</v>
      </c>
      <c r="F3631" t="s">
        <v>8722</v>
      </c>
      <c r="G3631">
        <v>2</v>
      </c>
      <c r="H3631" t="s">
        <v>900</v>
      </c>
      <c r="I3631" t="s">
        <v>122</v>
      </c>
      <c r="J3631" t="s">
        <v>652</v>
      </c>
      <c r="K3631" t="s">
        <v>20</v>
      </c>
      <c r="L3631" t="s">
        <v>1020</v>
      </c>
      <c r="M3631" s="3" t="str">
        <f>HYPERLINK("..\..\Imagery\ScannedPhotos\1980\RG80-029.1.jpg")</f>
        <v>..\..\Imagery\ScannedPhotos\1980\RG80-029.1.jpg</v>
      </c>
    </row>
    <row r="3632" spans="1:13" x14ac:dyDescent="0.25">
      <c r="A3632" t="s">
        <v>8721</v>
      </c>
      <c r="B3632">
        <v>421043</v>
      </c>
      <c r="C3632">
        <v>6009263</v>
      </c>
      <c r="D3632">
        <v>21</v>
      </c>
      <c r="E3632" t="s">
        <v>15</v>
      </c>
      <c r="F3632" t="s">
        <v>8723</v>
      </c>
      <c r="G3632">
        <v>2</v>
      </c>
      <c r="H3632" t="s">
        <v>900</v>
      </c>
      <c r="I3632" t="s">
        <v>126</v>
      </c>
      <c r="J3632" t="s">
        <v>652</v>
      </c>
      <c r="K3632" t="s">
        <v>20</v>
      </c>
      <c r="L3632" t="s">
        <v>8724</v>
      </c>
      <c r="M3632" s="3" t="str">
        <f>HYPERLINK("..\..\Imagery\ScannedPhotos\1980\RG80-029.2.jpg")</f>
        <v>..\..\Imagery\ScannedPhotos\1980\RG80-029.2.jpg</v>
      </c>
    </row>
    <row r="3633" spans="1:13" x14ac:dyDescent="0.25">
      <c r="A3633" t="s">
        <v>8725</v>
      </c>
      <c r="B3633">
        <v>480252</v>
      </c>
      <c r="C3633">
        <v>5936786</v>
      </c>
      <c r="D3633">
        <v>21</v>
      </c>
      <c r="E3633" t="s">
        <v>15</v>
      </c>
      <c r="F3633" t="s">
        <v>8726</v>
      </c>
      <c r="G3633">
        <v>1</v>
      </c>
      <c r="H3633" t="s">
        <v>1188</v>
      </c>
      <c r="I3633" t="s">
        <v>41</v>
      </c>
      <c r="J3633" t="s">
        <v>48</v>
      </c>
      <c r="K3633" t="s">
        <v>20</v>
      </c>
      <c r="L3633" t="s">
        <v>8727</v>
      </c>
      <c r="M3633" s="3" t="str">
        <f>HYPERLINK("..\..\Imagery\ScannedPhotos\1981\CG81-234.jpg")</f>
        <v>..\..\Imagery\ScannedPhotos\1981\CG81-234.jpg</v>
      </c>
    </row>
    <row r="3634" spans="1:13" x14ac:dyDescent="0.25">
      <c r="A3634" t="s">
        <v>8728</v>
      </c>
      <c r="B3634">
        <v>573900</v>
      </c>
      <c r="C3634">
        <v>5760080</v>
      </c>
      <c r="D3634">
        <v>21</v>
      </c>
      <c r="E3634" t="s">
        <v>15</v>
      </c>
      <c r="F3634" t="s">
        <v>8729</v>
      </c>
      <c r="G3634">
        <v>3</v>
      </c>
      <c r="H3634" t="s">
        <v>995</v>
      </c>
      <c r="I3634" t="s">
        <v>209</v>
      </c>
      <c r="J3634" t="s">
        <v>996</v>
      </c>
      <c r="K3634" t="s">
        <v>20</v>
      </c>
      <c r="L3634" t="s">
        <v>8730</v>
      </c>
      <c r="M3634" s="3" t="str">
        <f>HYPERLINK("..\..\Imagery\ScannedPhotos\1993\CG93-732.2.jpg")</f>
        <v>..\..\Imagery\ScannedPhotos\1993\CG93-732.2.jpg</v>
      </c>
    </row>
    <row r="3635" spans="1:13" x14ac:dyDescent="0.25">
      <c r="A3635" t="s">
        <v>8728</v>
      </c>
      <c r="B3635">
        <v>573900</v>
      </c>
      <c r="C3635">
        <v>5760080</v>
      </c>
      <c r="D3635">
        <v>21</v>
      </c>
      <c r="E3635" t="s">
        <v>15</v>
      </c>
      <c r="F3635" t="s">
        <v>8731</v>
      </c>
      <c r="G3635">
        <v>3</v>
      </c>
      <c r="H3635" t="s">
        <v>995</v>
      </c>
      <c r="I3635" t="s">
        <v>375</v>
      </c>
      <c r="J3635" t="s">
        <v>996</v>
      </c>
      <c r="K3635" t="s">
        <v>20</v>
      </c>
      <c r="L3635" t="s">
        <v>8732</v>
      </c>
      <c r="M3635" s="3" t="str">
        <f>HYPERLINK("..\..\Imagery\ScannedPhotos\1993\CG93-732.1.jpg")</f>
        <v>..\..\Imagery\ScannedPhotos\1993\CG93-732.1.jpg</v>
      </c>
    </row>
    <row r="3636" spans="1:13" x14ac:dyDescent="0.25">
      <c r="A3636" t="s">
        <v>8733</v>
      </c>
      <c r="B3636">
        <v>574728</v>
      </c>
      <c r="C3636">
        <v>5759537</v>
      </c>
      <c r="D3636">
        <v>21</v>
      </c>
      <c r="E3636" t="s">
        <v>15</v>
      </c>
      <c r="F3636" t="s">
        <v>8734</v>
      </c>
      <c r="G3636">
        <v>1</v>
      </c>
      <c r="H3636" t="s">
        <v>995</v>
      </c>
      <c r="I3636" t="s">
        <v>386</v>
      </c>
      <c r="J3636" t="s">
        <v>996</v>
      </c>
      <c r="K3636" t="s">
        <v>56</v>
      </c>
      <c r="L3636" t="s">
        <v>8735</v>
      </c>
      <c r="M3636" s="3" t="str">
        <f>HYPERLINK("..\..\Imagery\ScannedPhotos\1993\CG93-735.jpg")</f>
        <v>..\..\Imagery\ScannedPhotos\1993\CG93-735.jpg</v>
      </c>
    </row>
    <row r="3637" spans="1:13" x14ac:dyDescent="0.25">
      <c r="A3637" t="s">
        <v>8736</v>
      </c>
      <c r="B3637">
        <v>405577</v>
      </c>
      <c r="C3637">
        <v>5911349</v>
      </c>
      <c r="D3637">
        <v>21</v>
      </c>
      <c r="E3637" t="s">
        <v>15</v>
      </c>
      <c r="F3637" t="s">
        <v>8737</v>
      </c>
      <c r="G3637">
        <v>5</v>
      </c>
      <c r="H3637" t="s">
        <v>754</v>
      </c>
      <c r="I3637" t="s">
        <v>418</v>
      </c>
      <c r="J3637" t="s">
        <v>563</v>
      </c>
      <c r="K3637" t="s">
        <v>20</v>
      </c>
      <c r="L3637" t="s">
        <v>8738</v>
      </c>
      <c r="M3637" s="3" t="str">
        <f>HYPERLINK("..\..\Imagery\ScannedPhotos\1995\CG95-095.1.jpg")</f>
        <v>..\..\Imagery\ScannedPhotos\1995\CG95-095.1.jpg</v>
      </c>
    </row>
    <row r="3638" spans="1:13" x14ac:dyDescent="0.25">
      <c r="A3638" t="s">
        <v>8736</v>
      </c>
      <c r="B3638">
        <v>405577</v>
      </c>
      <c r="C3638">
        <v>5911349</v>
      </c>
      <c r="D3638">
        <v>21</v>
      </c>
      <c r="E3638" t="s">
        <v>15</v>
      </c>
      <c r="F3638" t="s">
        <v>8739</v>
      </c>
      <c r="G3638">
        <v>5</v>
      </c>
      <c r="H3638" t="s">
        <v>754</v>
      </c>
      <c r="I3638" t="s">
        <v>360</v>
      </c>
      <c r="J3638" t="s">
        <v>563</v>
      </c>
      <c r="K3638" t="s">
        <v>20</v>
      </c>
      <c r="L3638" t="s">
        <v>8740</v>
      </c>
      <c r="M3638" s="3" t="str">
        <f>HYPERLINK("..\..\Imagery\ScannedPhotos\1995\CG95-095.5.jpg")</f>
        <v>..\..\Imagery\ScannedPhotos\1995\CG95-095.5.jpg</v>
      </c>
    </row>
    <row r="3639" spans="1:13" x14ac:dyDescent="0.25">
      <c r="A3639" t="s">
        <v>8741</v>
      </c>
      <c r="B3639">
        <v>530340</v>
      </c>
      <c r="C3639">
        <v>5733550</v>
      </c>
      <c r="D3639">
        <v>21</v>
      </c>
      <c r="E3639" t="s">
        <v>15</v>
      </c>
      <c r="F3639" t="s">
        <v>8742</v>
      </c>
      <c r="G3639">
        <v>1</v>
      </c>
      <c r="H3639" t="s">
        <v>3597</v>
      </c>
      <c r="I3639" t="s">
        <v>35</v>
      </c>
      <c r="J3639" t="s">
        <v>3598</v>
      </c>
      <c r="K3639" t="s">
        <v>56</v>
      </c>
      <c r="L3639" t="s">
        <v>8743</v>
      </c>
      <c r="M3639" s="3" t="str">
        <f>HYPERLINK("..\..\Imagery\ScannedPhotos\1993\VN93-012.jpg")</f>
        <v>..\..\Imagery\ScannedPhotos\1993\VN93-012.jpg</v>
      </c>
    </row>
    <row r="3640" spans="1:13" x14ac:dyDescent="0.25">
      <c r="A3640" t="s">
        <v>8744</v>
      </c>
      <c r="B3640">
        <v>529856</v>
      </c>
      <c r="C3640">
        <v>5732130</v>
      </c>
      <c r="D3640">
        <v>21</v>
      </c>
      <c r="E3640" t="s">
        <v>15</v>
      </c>
      <c r="F3640" t="s">
        <v>8745</v>
      </c>
      <c r="G3640">
        <v>1</v>
      </c>
      <c r="H3640" t="s">
        <v>3597</v>
      </c>
      <c r="I3640" t="s">
        <v>69</v>
      </c>
      <c r="J3640" t="s">
        <v>3598</v>
      </c>
      <c r="K3640" t="s">
        <v>56</v>
      </c>
      <c r="L3640" t="s">
        <v>8531</v>
      </c>
      <c r="M3640" s="3" t="str">
        <f>HYPERLINK("..\..\Imagery\ScannedPhotos\1993\VN93-014.jpg")</f>
        <v>..\..\Imagery\ScannedPhotos\1993\VN93-014.jpg</v>
      </c>
    </row>
    <row r="3641" spans="1:13" x14ac:dyDescent="0.25">
      <c r="A3641" t="s">
        <v>8746</v>
      </c>
      <c r="B3641">
        <v>534831</v>
      </c>
      <c r="C3641">
        <v>5734973</v>
      </c>
      <c r="D3641">
        <v>21</v>
      </c>
      <c r="E3641" t="s">
        <v>15</v>
      </c>
      <c r="F3641" t="s">
        <v>8747</v>
      </c>
      <c r="G3641">
        <v>2</v>
      </c>
      <c r="H3641" t="s">
        <v>3597</v>
      </c>
      <c r="I3641" t="s">
        <v>74</v>
      </c>
      <c r="J3641" t="s">
        <v>3598</v>
      </c>
      <c r="K3641" t="s">
        <v>56</v>
      </c>
      <c r="L3641" t="s">
        <v>8748</v>
      </c>
      <c r="M3641" s="3" t="str">
        <f>HYPERLINK("..\..\Imagery\ScannedPhotos\1993\VN93-015.1.jpg")</f>
        <v>..\..\Imagery\ScannedPhotos\1993\VN93-015.1.jpg</v>
      </c>
    </row>
    <row r="3642" spans="1:13" x14ac:dyDescent="0.25">
      <c r="A3642" t="s">
        <v>8746</v>
      </c>
      <c r="B3642">
        <v>534831</v>
      </c>
      <c r="C3642">
        <v>5734973</v>
      </c>
      <c r="D3642">
        <v>21</v>
      </c>
      <c r="E3642" t="s">
        <v>15</v>
      </c>
      <c r="F3642" t="s">
        <v>8749</v>
      </c>
      <c r="G3642">
        <v>2</v>
      </c>
      <c r="H3642" t="s">
        <v>3597</v>
      </c>
      <c r="I3642" t="s">
        <v>41</v>
      </c>
      <c r="J3642" t="s">
        <v>3598</v>
      </c>
      <c r="K3642" t="s">
        <v>56</v>
      </c>
      <c r="L3642" t="s">
        <v>8370</v>
      </c>
      <c r="M3642" s="3" t="str">
        <f>HYPERLINK("..\..\Imagery\ScannedPhotos\1993\VN93-015.2.jpg")</f>
        <v>..\..\Imagery\ScannedPhotos\1993\VN93-015.2.jpg</v>
      </c>
    </row>
    <row r="3643" spans="1:13" x14ac:dyDescent="0.25">
      <c r="A3643" t="s">
        <v>8750</v>
      </c>
      <c r="B3643">
        <v>533623</v>
      </c>
      <c r="C3643">
        <v>5735683</v>
      </c>
      <c r="D3643">
        <v>21</v>
      </c>
      <c r="E3643" t="s">
        <v>15</v>
      </c>
      <c r="F3643" t="s">
        <v>8751</v>
      </c>
      <c r="G3643">
        <v>2</v>
      </c>
      <c r="H3643" t="s">
        <v>3597</v>
      </c>
      <c r="I3643" t="s">
        <v>375</v>
      </c>
      <c r="J3643" t="s">
        <v>3598</v>
      </c>
      <c r="K3643" t="s">
        <v>56</v>
      </c>
      <c r="L3643" t="s">
        <v>8752</v>
      </c>
      <c r="M3643" s="3" t="str">
        <f>HYPERLINK("..\..\Imagery\ScannedPhotos\1993\VN93-017.2.jpg")</f>
        <v>..\..\Imagery\ScannedPhotos\1993\VN93-017.2.jpg</v>
      </c>
    </row>
    <row r="3644" spans="1:13" x14ac:dyDescent="0.25">
      <c r="A3644" t="s">
        <v>8750</v>
      </c>
      <c r="B3644">
        <v>533623</v>
      </c>
      <c r="C3644">
        <v>5735683</v>
      </c>
      <c r="D3644">
        <v>21</v>
      </c>
      <c r="E3644" t="s">
        <v>15</v>
      </c>
      <c r="F3644" t="s">
        <v>8753</v>
      </c>
      <c r="G3644">
        <v>2</v>
      </c>
      <c r="H3644" t="s">
        <v>3597</v>
      </c>
      <c r="I3644" t="s">
        <v>85</v>
      </c>
      <c r="J3644" t="s">
        <v>3598</v>
      </c>
      <c r="K3644" t="s">
        <v>56</v>
      </c>
      <c r="L3644" t="s">
        <v>6469</v>
      </c>
      <c r="M3644" s="3" t="str">
        <f>HYPERLINK("..\..\Imagery\ScannedPhotos\1993\VN93-017.1.jpg")</f>
        <v>..\..\Imagery\ScannedPhotos\1993\VN93-017.1.jpg</v>
      </c>
    </row>
    <row r="3645" spans="1:13" x14ac:dyDescent="0.25">
      <c r="A3645" t="s">
        <v>8754</v>
      </c>
      <c r="B3645">
        <v>550046</v>
      </c>
      <c r="C3645">
        <v>5889364</v>
      </c>
      <c r="D3645">
        <v>21</v>
      </c>
      <c r="E3645" t="s">
        <v>15</v>
      </c>
      <c r="F3645" t="s">
        <v>8755</v>
      </c>
      <c r="G3645">
        <v>2</v>
      </c>
      <c r="H3645" t="s">
        <v>8266</v>
      </c>
      <c r="I3645" t="s">
        <v>18</v>
      </c>
      <c r="J3645" t="s">
        <v>1583</v>
      </c>
      <c r="K3645" t="s">
        <v>56</v>
      </c>
      <c r="L3645" t="s">
        <v>8756</v>
      </c>
      <c r="M3645" s="3" t="str">
        <f>HYPERLINK("..\..\Imagery\ScannedPhotos\1985\LC85-009.1.jpg")</f>
        <v>..\..\Imagery\ScannedPhotos\1985\LC85-009.1.jpg</v>
      </c>
    </row>
    <row r="3646" spans="1:13" x14ac:dyDescent="0.25">
      <c r="A3646" t="s">
        <v>8757</v>
      </c>
      <c r="B3646">
        <v>545910</v>
      </c>
      <c r="C3646">
        <v>5919791</v>
      </c>
      <c r="D3646">
        <v>21</v>
      </c>
      <c r="E3646" t="s">
        <v>15</v>
      </c>
      <c r="F3646" t="s">
        <v>8758</v>
      </c>
      <c r="G3646">
        <v>1</v>
      </c>
      <c r="H3646" t="s">
        <v>8266</v>
      </c>
      <c r="I3646" t="s">
        <v>74</v>
      </c>
      <c r="J3646" t="s">
        <v>1583</v>
      </c>
      <c r="K3646" t="s">
        <v>20</v>
      </c>
      <c r="L3646" t="s">
        <v>8759</v>
      </c>
      <c r="M3646" s="3" t="str">
        <f>HYPERLINK("..\..\Imagery\ScannedPhotos\1985\LC85-015.jpg")</f>
        <v>..\..\Imagery\ScannedPhotos\1985\LC85-015.jpg</v>
      </c>
    </row>
    <row r="3647" spans="1:13" x14ac:dyDescent="0.25">
      <c r="A3647" t="s">
        <v>933</v>
      </c>
      <c r="B3647">
        <v>501733</v>
      </c>
      <c r="C3647">
        <v>5933812</v>
      </c>
      <c r="D3647">
        <v>21</v>
      </c>
      <c r="E3647" t="s">
        <v>15</v>
      </c>
      <c r="F3647" t="s">
        <v>8760</v>
      </c>
      <c r="G3647">
        <v>5</v>
      </c>
      <c r="K3647" t="s">
        <v>109</v>
      </c>
      <c r="L3647" t="s">
        <v>8761</v>
      </c>
      <c r="M3647" s="3" t="str">
        <f>HYPERLINK("..\..\Imagery\ScannedPhotos\2004\CG04-258.4.jpg")</f>
        <v>..\..\Imagery\ScannedPhotos\2004\CG04-258.4.jpg</v>
      </c>
    </row>
    <row r="3648" spans="1:13" x14ac:dyDescent="0.25">
      <c r="A3648" t="s">
        <v>933</v>
      </c>
      <c r="B3648">
        <v>501733</v>
      </c>
      <c r="C3648">
        <v>5933812</v>
      </c>
      <c r="D3648">
        <v>21</v>
      </c>
      <c r="E3648" t="s">
        <v>15</v>
      </c>
      <c r="F3648" t="s">
        <v>8762</v>
      </c>
      <c r="G3648">
        <v>5</v>
      </c>
      <c r="K3648" t="s">
        <v>109</v>
      </c>
      <c r="L3648" t="s">
        <v>8763</v>
      </c>
      <c r="M3648" s="3" t="str">
        <f>HYPERLINK("..\..\Imagery\ScannedPhotos\2004\CG04-258.5.jpg")</f>
        <v>..\..\Imagery\ScannedPhotos\2004\CG04-258.5.jpg</v>
      </c>
    </row>
    <row r="3649" spans="1:13" x14ac:dyDescent="0.25">
      <c r="A3649" t="s">
        <v>5401</v>
      </c>
      <c r="B3649">
        <v>569586</v>
      </c>
      <c r="C3649">
        <v>5830607</v>
      </c>
      <c r="D3649">
        <v>21</v>
      </c>
      <c r="E3649" t="s">
        <v>15</v>
      </c>
      <c r="F3649" t="s">
        <v>8764</v>
      </c>
      <c r="G3649">
        <v>3</v>
      </c>
      <c r="H3649" t="s">
        <v>17</v>
      </c>
      <c r="I3649" t="s">
        <v>52</v>
      </c>
      <c r="J3649" t="s">
        <v>19</v>
      </c>
      <c r="K3649" t="s">
        <v>20</v>
      </c>
      <c r="L3649" t="s">
        <v>2263</v>
      </c>
      <c r="M3649" s="3" t="str">
        <f>HYPERLINK("..\..\Imagery\ScannedPhotos\1986\JS86-339.2.jpg")</f>
        <v>..\..\Imagery\ScannedPhotos\1986\JS86-339.2.jpg</v>
      </c>
    </row>
    <row r="3650" spans="1:13" x14ac:dyDescent="0.25">
      <c r="A3650" t="s">
        <v>8765</v>
      </c>
      <c r="B3650">
        <v>534633</v>
      </c>
      <c r="C3650">
        <v>5819924</v>
      </c>
      <c r="D3650">
        <v>21</v>
      </c>
      <c r="E3650" t="s">
        <v>15</v>
      </c>
      <c r="F3650" t="s">
        <v>8766</v>
      </c>
      <c r="G3650">
        <v>1</v>
      </c>
      <c r="H3650" t="s">
        <v>2018</v>
      </c>
      <c r="I3650" t="s">
        <v>74</v>
      </c>
      <c r="J3650" t="s">
        <v>2019</v>
      </c>
      <c r="K3650" t="s">
        <v>20</v>
      </c>
      <c r="L3650" t="s">
        <v>7713</v>
      </c>
      <c r="M3650" s="3" t="str">
        <f>HYPERLINK("..\..\Imagery\ScannedPhotos\1986\SN86-017.jpg")</f>
        <v>..\..\Imagery\ScannedPhotos\1986\SN86-017.jpg</v>
      </c>
    </row>
    <row r="3651" spans="1:13" x14ac:dyDescent="0.25">
      <c r="A3651" t="s">
        <v>6407</v>
      </c>
      <c r="B3651">
        <v>534743</v>
      </c>
      <c r="C3651">
        <v>5819930</v>
      </c>
      <c r="D3651">
        <v>21</v>
      </c>
      <c r="E3651" t="s">
        <v>15</v>
      </c>
      <c r="F3651" t="s">
        <v>8767</v>
      </c>
      <c r="G3651">
        <v>2</v>
      </c>
      <c r="H3651" t="s">
        <v>2018</v>
      </c>
      <c r="I3651" t="s">
        <v>41</v>
      </c>
      <c r="J3651" t="s">
        <v>2019</v>
      </c>
      <c r="K3651" t="s">
        <v>20</v>
      </c>
      <c r="L3651" t="s">
        <v>8768</v>
      </c>
      <c r="M3651" s="3" t="str">
        <f>HYPERLINK("..\..\Imagery\ScannedPhotos\1986\SN86-018.1.jpg")</f>
        <v>..\..\Imagery\ScannedPhotos\1986\SN86-018.1.jpg</v>
      </c>
    </row>
    <row r="3652" spans="1:13" x14ac:dyDescent="0.25">
      <c r="A3652" t="s">
        <v>2511</v>
      </c>
      <c r="B3652">
        <v>409024</v>
      </c>
      <c r="C3652">
        <v>5994803</v>
      </c>
      <c r="D3652">
        <v>21</v>
      </c>
      <c r="E3652" t="s">
        <v>15</v>
      </c>
      <c r="F3652" t="s">
        <v>8769</v>
      </c>
      <c r="G3652">
        <v>4</v>
      </c>
      <c r="H3652" t="s">
        <v>2319</v>
      </c>
      <c r="I3652" t="s">
        <v>418</v>
      </c>
      <c r="J3652" t="s">
        <v>759</v>
      </c>
      <c r="K3652" t="s">
        <v>20</v>
      </c>
      <c r="L3652" t="s">
        <v>8770</v>
      </c>
      <c r="M3652" s="3" t="str">
        <f>HYPERLINK("..\..\Imagery\ScannedPhotos\1980\RG80-005.3.jpg")</f>
        <v>..\..\Imagery\ScannedPhotos\1980\RG80-005.3.jpg</v>
      </c>
    </row>
    <row r="3653" spans="1:13" x14ac:dyDescent="0.25">
      <c r="A3653" t="s">
        <v>8771</v>
      </c>
      <c r="B3653">
        <v>409358</v>
      </c>
      <c r="C3653">
        <v>5994745</v>
      </c>
      <c r="D3653">
        <v>21</v>
      </c>
      <c r="E3653" t="s">
        <v>15</v>
      </c>
      <c r="F3653" t="s">
        <v>8772</v>
      </c>
      <c r="G3653">
        <v>3</v>
      </c>
      <c r="H3653" t="s">
        <v>2319</v>
      </c>
      <c r="I3653" t="s">
        <v>647</v>
      </c>
      <c r="J3653" t="s">
        <v>759</v>
      </c>
      <c r="K3653" t="s">
        <v>20</v>
      </c>
      <c r="L3653" t="s">
        <v>8773</v>
      </c>
      <c r="M3653" s="3" t="str">
        <f>HYPERLINK("..\..\Imagery\ScannedPhotos\1980\RG80-007.3.jpg")</f>
        <v>..\..\Imagery\ScannedPhotos\1980\RG80-007.3.jpg</v>
      </c>
    </row>
    <row r="3654" spans="1:13" x14ac:dyDescent="0.25">
      <c r="A3654" t="s">
        <v>8771</v>
      </c>
      <c r="B3654">
        <v>409358</v>
      </c>
      <c r="C3654">
        <v>5994745</v>
      </c>
      <c r="D3654">
        <v>21</v>
      </c>
      <c r="E3654" t="s">
        <v>15</v>
      </c>
      <c r="F3654" t="s">
        <v>8774</v>
      </c>
      <c r="G3654">
        <v>3</v>
      </c>
      <c r="H3654" t="s">
        <v>2319</v>
      </c>
      <c r="I3654" t="s">
        <v>360</v>
      </c>
      <c r="J3654" t="s">
        <v>759</v>
      </c>
      <c r="K3654" t="s">
        <v>20</v>
      </c>
      <c r="L3654" t="s">
        <v>8775</v>
      </c>
      <c r="M3654" s="3" t="str">
        <f>HYPERLINK("..\..\Imagery\ScannedPhotos\1980\RG80-007.2.jpg")</f>
        <v>..\..\Imagery\ScannedPhotos\1980\RG80-007.2.jpg</v>
      </c>
    </row>
    <row r="3655" spans="1:13" x14ac:dyDescent="0.25">
      <c r="A3655" t="s">
        <v>8771</v>
      </c>
      <c r="B3655">
        <v>409358</v>
      </c>
      <c r="C3655">
        <v>5994745</v>
      </c>
      <c r="D3655">
        <v>21</v>
      </c>
      <c r="E3655" t="s">
        <v>15</v>
      </c>
      <c r="F3655" t="s">
        <v>8776</v>
      </c>
      <c r="G3655">
        <v>3</v>
      </c>
      <c r="H3655" t="s">
        <v>2319</v>
      </c>
      <c r="I3655" t="s">
        <v>25</v>
      </c>
      <c r="J3655" t="s">
        <v>759</v>
      </c>
      <c r="K3655" t="s">
        <v>20</v>
      </c>
      <c r="L3655" t="s">
        <v>8777</v>
      </c>
      <c r="M3655" s="3" t="str">
        <f>HYPERLINK("..\..\Imagery\ScannedPhotos\1980\RG80-007.1.jpg")</f>
        <v>..\..\Imagery\ScannedPhotos\1980\RG80-007.1.jpg</v>
      </c>
    </row>
    <row r="3656" spans="1:13" x14ac:dyDescent="0.25">
      <c r="A3656" t="s">
        <v>8778</v>
      </c>
      <c r="B3656">
        <v>409602</v>
      </c>
      <c r="C3656">
        <v>5994686</v>
      </c>
      <c r="D3656">
        <v>21</v>
      </c>
      <c r="E3656" t="s">
        <v>15</v>
      </c>
      <c r="F3656" t="s">
        <v>8779</v>
      </c>
      <c r="G3656">
        <v>2</v>
      </c>
      <c r="H3656" t="s">
        <v>2319</v>
      </c>
      <c r="I3656" t="s">
        <v>30</v>
      </c>
      <c r="J3656" t="s">
        <v>759</v>
      </c>
      <c r="K3656" t="s">
        <v>20</v>
      </c>
      <c r="L3656" t="s">
        <v>8780</v>
      </c>
      <c r="M3656" s="3" t="str">
        <f>HYPERLINK("..\..\Imagery\ScannedPhotos\1980\RG80-008.2.jpg")</f>
        <v>..\..\Imagery\ScannedPhotos\1980\RG80-008.2.jpg</v>
      </c>
    </row>
    <row r="3657" spans="1:13" x14ac:dyDescent="0.25">
      <c r="A3657" t="s">
        <v>8778</v>
      </c>
      <c r="B3657">
        <v>409602</v>
      </c>
      <c r="C3657">
        <v>5994686</v>
      </c>
      <c r="D3657">
        <v>21</v>
      </c>
      <c r="E3657" t="s">
        <v>15</v>
      </c>
      <c r="F3657" t="s">
        <v>8781</v>
      </c>
      <c r="G3657">
        <v>2</v>
      </c>
      <c r="H3657" t="s">
        <v>900</v>
      </c>
      <c r="I3657" t="s">
        <v>137</v>
      </c>
      <c r="J3657" t="s">
        <v>652</v>
      </c>
      <c r="K3657" t="s">
        <v>20</v>
      </c>
      <c r="L3657" t="s">
        <v>8782</v>
      </c>
      <c r="M3657" s="3" t="str">
        <f>HYPERLINK("..\..\Imagery\ScannedPhotos\1980\RG80-008.1.jpg")</f>
        <v>..\..\Imagery\ScannedPhotos\1980\RG80-008.1.jpg</v>
      </c>
    </row>
    <row r="3658" spans="1:13" x14ac:dyDescent="0.25">
      <c r="A3658" t="s">
        <v>8783</v>
      </c>
      <c r="B3658">
        <v>470561</v>
      </c>
      <c r="C3658">
        <v>5924970</v>
      </c>
      <c r="D3658">
        <v>21</v>
      </c>
      <c r="E3658" t="s">
        <v>15</v>
      </c>
      <c r="F3658" t="s">
        <v>8784</v>
      </c>
      <c r="G3658">
        <v>1</v>
      </c>
      <c r="H3658" t="s">
        <v>2912</v>
      </c>
      <c r="I3658" t="s">
        <v>132</v>
      </c>
      <c r="J3658" t="s">
        <v>2913</v>
      </c>
      <c r="K3658" t="s">
        <v>20</v>
      </c>
      <c r="L3658" t="s">
        <v>8785</v>
      </c>
      <c r="M3658" s="3" t="str">
        <f>HYPERLINK("..\..\Imagery\ScannedPhotos\1984\VN84-255.jpg")</f>
        <v>..\..\Imagery\ScannedPhotos\1984\VN84-255.jpg</v>
      </c>
    </row>
    <row r="3659" spans="1:13" x14ac:dyDescent="0.25">
      <c r="A3659" t="s">
        <v>2910</v>
      </c>
      <c r="B3659">
        <v>485453</v>
      </c>
      <c r="C3659">
        <v>5927922</v>
      </c>
      <c r="D3659">
        <v>21</v>
      </c>
      <c r="E3659" t="s">
        <v>15</v>
      </c>
      <c r="F3659" t="s">
        <v>8786</v>
      </c>
      <c r="G3659">
        <v>4</v>
      </c>
      <c r="H3659" t="s">
        <v>2912</v>
      </c>
      <c r="I3659" t="s">
        <v>129</v>
      </c>
      <c r="J3659" t="s">
        <v>2913</v>
      </c>
      <c r="K3659" t="s">
        <v>20</v>
      </c>
      <c r="L3659" t="s">
        <v>2573</v>
      </c>
      <c r="M3659" s="3" t="str">
        <f>HYPERLINK("..\..\Imagery\ScannedPhotos\1984\VN84-268.1.jpg")</f>
        <v>..\..\Imagery\ScannedPhotos\1984\VN84-268.1.jpg</v>
      </c>
    </row>
    <row r="3660" spans="1:13" x14ac:dyDescent="0.25">
      <c r="A3660" t="s">
        <v>2910</v>
      </c>
      <c r="B3660">
        <v>485453</v>
      </c>
      <c r="C3660">
        <v>5927922</v>
      </c>
      <c r="D3660">
        <v>21</v>
      </c>
      <c r="E3660" t="s">
        <v>15</v>
      </c>
      <c r="F3660" t="s">
        <v>8787</v>
      </c>
      <c r="G3660">
        <v>4</v>
      </c>
      <c r="H3660" t="s">
        <v>2912</v>
      </c>
      <c r="I3660" t="s">
        <v>143</v>
      </c>
      <c r="J3660" t="s">
        <v>2913</v>
      </c>
      <c r="K3660" t="s">
        <v>20</v>
      </c>
      <c r="L3660" t="s">
        <v>8788</v>
      </c>
      <c r="M3660" s="3" t="str">
        <f>HYPERLINK("..\..\Imagery\ScannedPhotos\1984\VN84-268.2.jpg")</f>
        <v>..\..\Imagery\ScannedPhotos\1984\VN84-268.2.jpg</v>
      </c>
    </row>
    <row r="3661" spans="1:13" x14ac:dyDescent="0.25">
      <c r="A3661" t="s">
        <v>2910</v>
      </c>
      <c r="B3661">
        <v>485453</v>
      </c>
      <c r="C3661">
        <v>5927922</v>
      </c>
      <c r="D3661">
        <v>21</v>
      </c>
      <c r="E3661" t="s">
        <v>15</v>
      </c>
      <c r="F3661" t="s">
        <v>8789</v>
      </c>
      <c r="G3661">
        <v>4</v>
      </c>
      <c r="H3661" t="s">
        <v>2912</v>
      </c>
      <c r="I3661" t="s">
        <v>147</v>
      </c>
      <c r="J3661" t="s">
        <v>2913</v>
      </c>
      <c r="K3661" t="s">
        <v>20</v>
      </c>
      <c r="L3661" t="s">
        <v>8790</v>
      </c>
      <c r="M3661" s="3" t="str">
        <f>HYPERLINK("..\..\Imagery\ScannedPhotos\1984\VN84-268.3.jpg")</f>
        <v>..\..\Imagery\ScannedPhotos\1984\VN84-268.3.jpg</v>
      </c>
    </row>
    <row r="3662" spans="1:13" x14ac:dyDescent="0.25">
      <c r="A3662" t="s">
        <v>6123</v>
      </c>
      <c r="B3662">
        <v>461979</v>
      </c>
      <c r="C3662">
        <v>6028982</v>
      </c>
      <c r="D3662">
        <v>21</v>
      </c>
      <c r="E3662" t="s">
        <v>15</v>
      </c>
      <c r="F3662" t="s">
        <v>8791</v>
      </c>
      <c r="G3662">
        <v>2</v>
      </c>
      <c r="H3662" t="s">
        <v>5502</v>
      </c>
      <c r="I3662" t="s">
        <v>108</v>
      </c>
      <c r="J3662" t="s">
        <v>691</v>
      </c>
      <c r="K3662" t="s">
        <v>20</v>
      </c>
      <c r="L3662" t="s">
        <v>4846</v>
      </c>
      <c r="M3662" s="3" t="str">
        <f>HYPERLINK("..\..\Imagery\ScannedPhotos\1979\CG79-759.2.jpg")</f>
        <v>..\..\Imagery\ScannedPhotos\1979\CG79-759.2.jpg</v>
      </c>
    </row>
    <row r="3663" spans="1:13" x14ac:dyDescent="0.25">
      <c r="A3663" t="s">
        <v>8792</v>
      </c>
      <c r="B3663">
        <v>352930</v>
      </c>
      <c r="C3663">
        <v>5872632</v>
      </c>
      <c r="D3663">
        <v>21</v>
      </c>
      <c r="E3663" t="s">
        <v>15</v>
      </c>
      <c r="F3663" t="s">
        <v>8793</v>
      </c>
      <c r="G3663">
        <v>1</v>
      </c>
      <c r="H3663" t="s">
        <v>259</v>
      </c>
      <c r="I3663" t="s">
        <v>69</v>
      </c>
      <c r="J3663" t="s">
        <v>260</v>
      </c>
      <c r="K3663" t="s">
        <v>56</v>
      </c>
      <c r="L3663" t="s">
        <v>8794</v>
      </c>
      <c r="M3663" s="3" t="str">
        <f>HYPERLINK("..\..\Imagery\ScannedPhotos\1998\CG98-026.jpg")</f>
        <v>..\..\Imagery\ScannedPhotos\1998\CG98-026.jpg</v>
      </c>
    </row>
    <row r="3664" spans="1:13" x14ac:dyDescent="0.25">
      <c r="A3664" t="s">
        <v>8795</v>
      </c>
      <c r="B3664">
        <v>379042</v>
      </c>
      <c r="C3664">
        <v>6077382</v>
      </c>
      <c r="D3664">
        <v>21</v>
      </c>
      <c r="E3664" t="s">
        <v>15</v>
      </c>
      <c r="F3664" t="s">
        <v>8796</v>
      </c>
      <c r="G3664">
        <v>2</v>
      </c>
      <c r="H3664" t="s">
        <v>2011</v>
      </c>
      <c r="I3664" t="s">
        <v>94</v>
      </c>
      <c r="J3664" t="s">
        <v>1624</v>
      </c>
      <c r="K3664" t="s">
        <v>56</v>
      </c>
      <c r="L3664" t="s">
        <v>8797</v>
      </c>
      <c r="M3664" s="3" t="str">
        <f>HYPERLINK("..\..\Imagery\ScannedPhotos\1978\AL78-138.2.jpg")</f>
        <v>..\..\Imagery\ScannedPhotos\1978\AL78-138.2.jpg</v>
      </c>
    </row>
    <row r="3665" spans="1:13" x14ac:dyDescent="0.25">
      <c r="A3665" t="s">
        <v>8798</v>
      </c>
      <c r="B3665">
        <v>379364</v>
      </c>
      <c r="C3665">
        <v>6076201</v>
      </c>
      <c r="D3665">
        <v>21</v>
      </c>
      <c r="E3665" t="s">
        <v>15</v>
      </c>
      <c r="F3665" t="s">
        <v>8799</v>
      </c>
      <c r="G3665">
        <v>1</v>
      </c>
      <c r="H3665" t="s">
        <v>4136</v>
      </c>
      <c r="I3665" t="s">
        <v>214</v>
      </c>
      <c r="J3665" t="s">
        <v>423</v>
      </c>
      <c r="K3665" t="s">
        <v>228</v>
      </c>
      <c r="L3665" t="s">
        <v>8800</v>
      </c>
      <c r="M3665" s="3" t="str">
        <f>HYPERLINK("..\..\Imagery\ScannedPhotos\1978\AL78-140.jpg")</f>
        <v>..\..\Imagery\ScannedPhotos\1978\AL78-140.jpg</v>
      </c>
    </row>
    <row r="3666" spans="1:13" x14ac:dyDescent="0.25">
      <c r="A3666" t="s">
        <v>8801</v>
      </c>
      <c r="B3666">
        <v>381761</v>
      </c>
      <c r="C3666">
        <v>6075882</v>
      </c>
      <c r="D3666">
        <v>21</v>
      </c>
      <c r="E3666" t="s">
        <v>15</v>
      </c>
      <c r="F3666" t="s">
        <v>8802</v>
      </c>
      <c r="G3666">
        <v>1</v>
      </c>
      <c r="H3666" t="s">
        <v>2011</v>
      </c>
      <c r="I3666" t="s">
        <v>209</v>
      </c>
      <c r="J3666" t="s">
        <v>1624</v>
      </c>
      <c r="K3666" t="s">
        <v>20</v>
      </c>
      <c r="L3666" t="s">
        <v>8803</v>
      </c>
      <c r="M3666" s="3" t="str">
        <f>HYPERLINK("..\..\Imagery\ScannedPhotos\1978\AL78-141.jpg")</f>
        <v>..\..\Imagery\ScannedPhotos\1978\AL78-141.jpg</v>
      </c>
    </row>
    <row r="3667" spans="1:13" x14ac:dyDescent="0.25">
      <c r="A3667" t="s">
        <v>8804</v>
      </c>
      <c r="B3667">
        <v>537980</v>
      </c>
      <c r="C3667">
        <v>5729052</v>
      </c>
      <c r="D3667">
        <v>21</v>
      </c>
      <c r="E3667" t="s">
        <v>15</v>
      </c>
      <c r="F3667" t="s">
        <v>8805</v>
      </c>
      <c r="G3667">
        <v>2</v>
      </c>
      <c r="H3667" t="s">
        <v>2355</v>
      </c>
      <c r="I3667" t="s">
        <v>129</v>
      </c>
      <c r="J3667" t="s">
        <v>886</v>
      </c>
      <c r="K3667" t="s">
        <v>20</v>
      </c>
      <c r="L3667" t="s">
        <v>8806</v>
      </c>
      <c r="M3667" s="3" t="str">
        <f>HYPERLINK("..\..\Imagery\ScannedPhotos\1993\VN93-091.2.jpg")</f>
        <v>..\..\Imagery\ScannedPhotos\1993\VN93-091.2.jpg</v>
      </c>
    </row>
    <row r="3668" spans="1:13" x14ac:dyDescent="0.25">
      <c r="A3668" t="s">
        <v>2353</v>
      </c>
      <c r="B3668">
        <v>537821</v>
      </c>
      <c r="C3668">
        <v>5728574</v>
      </c>
      <c r="D3668">
        <v>21</v>
      </c>
      <c r="E3668" t="s">
        <v>15</v>
      </c>
      <c r="F3668" t="s">
        <v>8807</v>
      </c>
      <c r="G3668">
        <v>4</v>
      </c>
      <c r="H3668" t="s">
        <v>2355</v>
      </c>
      <c r="I3668" t="s">
        <v>47</v>
      </c>
      <c r="J3668" t="s">
        <v>886</v>
      </c>
      <c r="K3668" t="s">
        <v>20</v>
      </c>
      <c r="L3668" t="s">
        <v>4373</v>
      </c>
      <c r="M3668" s="3" t="str">
        <f>HYPERLINK("..\..\Imagery\ScannedPhotos\1993\VN93-093.3.jpg")</f>
        <v>..\..\Imagery\ScannedPhotos\1993\VN93-093.3.jpg</v>
      </c>
    </row>
    <row r="3669" spans="1:13" x14ac:dyDescent="0.25">
      <c r="A3669" t="s">
        <v>2353</v>
      </c>
      <c r="B3669">
        <v>537821</v>
      </c>
      <c r="C3669">
        <v>5728574</v>
      </c>
      <c r="D3669">
        <v>21</v>
      </c>
      <c r="E3669" t="s">
        <v>15</v>
      </c>
      <c r="F3669" t="s">
        <v>8808</v>
      </c>
      <c r="G3669">
        <v>4</v>
      </c>
      <c r="H3669" t="s">
        <v>2355</v>
      </c>
      <c r="I3669" t="s">
        <v>52</v>
      </c>
      <c r="J3669" t="s">
        <v>886</v>
      </c>
      <c r="K3669" t="s">
        <v>20</v>
      </c>
      <c r="L3669" t="s">
        <v>2356</v>
      </c>
      <c r="M3669" s="3" t="str">
        <f>HYPERLINK("..\..\Imagery\ScannedPhotos\1993\VN93-093.4.jpg")</f>
        <v>..\..\Imagery\ScannedPhotos\1993\VN93-093.4.jpg</v>
      </c>
    </row>
    <row r="3670" spans="1:13" x14ac:dyDescent="0.25">
      <c r="A3670" t="s">
        <v>8809</v>
      </c>
      <c r="B3670">
        <v>494875</v>
      </c>
      <c r="C3670">
        <v>5820030</v>
      </c>
      <c r="D3670">
        <v>21</v>
      </c>
      <c r="E3670" t="s">
        <v>15</v>
      </c>
      <c r="F3670" t="s">
        <v>8810</v>
      </c>
      <c r="G3670">
        <v>5</v>
      </c>
      <c r="H3670" t="s">
        <v>2719</v>
      </c>
      <c r="I3670" t="s">
        <v>122</v>
      </c>
      <c r="J3670" t="s">
        <v>891</v>
      </c>
      <c r="K3670" t="s">
        <v>20</v>
      </c>
      <c r="L3670" t="s">
        <v>8811</v>
      </c>
      <c r="M3670" s="3" t="str">
        <f>HYPERLINK("..\..\Imagery\ScannedPhotos\1991\VN91-265.5.jpg")</f>
        <v>..\..\Imagery\ScannedPhotos\1991\VN91-265.5.jpg</v>
      </c>
    </row>
    <row r="3671" spans="1:13" x14ac:dyDescent="0.25">
      <c r="A3671" t="s">
        <v>8812</v>
      </c>
      <c r="B3671">
        <v>509555</v>
      </c>
      <c r="C3671">
        <v>5953826</v>
      </c>
      <c r="D3671">
        <v>21</v>
      </c>
      <c r="E3671" t="s">
        <v>15</v>
      </c>
      <c r="F3671" t="s">
        <v>8813</v>
      </c>
      <c r="G3671">
        <v>1</v>
      </c>
      <c r="H3671" t="s">
        <v>6876</v>
      </c>
      <c r="I3671" t="s">
        <v>18</v>
      </c>
      <c r="J3671" t="s">
        <v>48</v>
      </c>
      <c r="K3671" t="s">
        <v>20</v>
      </c>
      <c r="L3671" t="s">
        <v>8814</v>
      </c>
      <c r="M3671" s="3" t="str">
        <f>HYPERLINK("..\..\Imagery\ScannedPhotos\1981\VO81-017.jpg")</f>
        <v>..\..\Imagery\ScannedPhotos\1981\VO81-017.jpg</v>
      </c>
    </row>
    <row r="3672" spans="1:13" x14ac:dyDescent="0.25">
      <c r="A3672" t="s">
        <v>8815</v>
      </c>
      <c r="B3672">
        <v>542128</v>
      </c>
      <c r="C3672">
        <v>5822411</v>
      </c>
      <c r="D3672">
        <v>21</v>
      </c>
      <c r="E3672" t="s">
        <v>15</v>
      </c>
      <c r="F3672" t="s">
        <v>8816</v>
      </c>
      <c r="G3672">
        <v>1</v>
      </c>
      <c r="H3672" t="s">
        <v>2018</v>
      </c>
      <c r="I3672" t="s">
        <v>386</v>
      </c>
      <c r="J3672" t="s">
        <v>2019</v>
      </c>
      <c r="K3672" t="s">
        <v>20</v>
      </c>
      <c r="L3672" t="s">
        <v>8817</v>
      </c>
      <c r="M3672" s="3" t="str">
        <f>HYPERLINK("..\..\Imagery\ScannedPhotos\1986\SN86-032.jpg")</f>
        <v>..\..\Imagery\ScannedPhotos\1986\SN86-032.jpg</v>
      </c>
    </row>
    <row r="3673" spans="1:13" x14ac:dyDescent="0.25">
      <c r="A3673" t="s">
        <v>8818</v>
      </c>
      <c r="B3673">
        <v>550470</v>
      </c>
      <c r="C3673">
        <v>5821503</v>
      </c>
      <c r="D3673">
        <v>21</v>
      </c>
      <c r="E3673" t="s">
        <v>15</v>
      </c>
      <c r="F3673" t="s">
        <v>8819</v>
      </c>
      <c r="G3673">
        <v>1</v>
      </c>
      <c r="H3673" t="s">
        <v>2018</v>
      </c>
      <c r="I3673" t="s">
        <v>647</v>
      </c>
      <c r="J3673" t="s">
        <v>2019</v>
      </c>
      <c r="K3673" t="s">
        <v>20</v>
      </c>
      <c r="L3673" t="s">
        <v>8820</v>
      </c>
      <c r="M3673" s="3" t="str">
        <f>HYPERLINK("..\..\Imagery\ScannedPhotos\1986\SN86-059.jpg")</f>
        <v>..\..\Imagery\ScannedPhotos\1986\SN86-059.jpg</v>
      </c>
    </row>
    <row r="3674" spans="1:13" x14ac:dyDescent="0.25">
      <c r="A3674" t="s">
        <v>8821</v>
      </c>
      <c r="B3674">
        <v>498400</v>
      </c>
      <c r="C3674">
        <v>5816450</v>
      </c>
      <c r="D3674">
        <v>21</v>
      </c>
      <c r="E3674" t="s">
        <v>15</v>
      </c>
      <c r="F3674" t="s">
        <v>8822</v>
      </c>
      <c r="G3674">
        <v>2</v>
      </c>
      <c r="H3674" t="s">
        <v>1044</v>
      </c>
      <c r="I3674" t="s">
        <v>360</v>
      </c>
      <c r="J3674" t="s">
        <v>42</v>
      </c>
      <c r="K3674" t="s">
        <v>56</v>
      </c>
      <c r="L3674" t="s">
        <v>3662</v>
      </c>
      <c r="M3674" s="3" t="str">
        <f>HYPERLINK("..\..\Imagery\ScannedPhotos\1991\VN91-036.2.jpg")</f>
        <v>..\..\Imagery\ScannedPhotos\1991\VN91-036.2.jpg</v>
      </c>
    </row>
    <row r="3675" spans="1:13" x14ac:dyDescent="0.25">
      <c r="A3675" t="s">
        <v>8821</v>
      </c>
      <c r="B3675">
        <v>498400</v>
      </c>
      <c r="C3675">
        <v>5816450</v>
      </c>
      <c r="D3675">
        <v>21</v>
      </c>
      <c r="E3675" t="s">
        <v>15</v>
      </c>
      <c r="F3675" t="s">
        <v>8823</v>
      </c>
      <c r="G3675">
        <v>2</v>
      </c>
      <c r="H3675" t="s">
        <v>1044</v>
      </c>
      <c r="I3675" t="s">
        <v>647</v>
      </c>
      <c r="J3675" t="s">
        <v>42</v>
      </c>
      <c r="K3675" t="s">
        <v>56</v>
      </c>
      <c r="L3675" t="s">
        <v>3148</v>
      </c>
      <c r="M3675" s="3" t="str">
        <f>HYPERLINK("..\..\Imagery\ScannedPhotos\1991\VN91-037.1.jpg")</f>
        <v>..\..\Imagery\ScannedPhotos\1991\VN91-037.1.jpg</v>
      </c>
    </row>
    <row r="3676" spans="1:13" x14ac:dyDescent="0.25">
      <c r="A3676" t="s">
        <v>8821</v>
      </c>
      <c r="B3676">
        <v>498400</v>
      </c>
      <c r="C3676">
        <v>5816450</v>
      </c>
      <c r="D3676">
        <v>21</v>
      </c>
      <c r="E3676" t="s">
        <v>15</v>
      </c>
      <c r="F3676" t="s">
        <v>8824</v>
      </c>
      <c r="G3676">
        <v>2</v>
      </c>
      <c r="H3676" t="s">
        <v>1044</v>
      </c>
      <c r="I3676" t="s">
        <v>30</v>
      </c>
      <c r="J3676" t="s">
        <v>42</v>
      </c>
      <c r="K3676" t="s">
        <v>56</v>
      </c>
      <c r="L3676" t="s">
        <v>322</v>
      </c>
      <c r="M3676" s="3" t="str">
        <f>HYPERLINK("..\..\Imagery\ScannedPhotos\1991\VN91-037.2.jpg")</f>
        <v>..\..\Imagery\ScannedPhotos\1991\VN91-037.2.jpg</v>
      </c>
    </row>
    <row r="3677" spans="1:13" x14ac:dyDescent="0.25">
      <c r="A3677" t="s">
        <v>3346</v>
      </c>
      <c r="B3677">
        <v>518527</v>
      </c>
      <c r="C3677">
        <v>5955730</v>
      </c>
      <c r="D3677">
        <v>21</v>
      </c>
      <c r="E3677" t="s">
        <v>15</v>
      </c>
      <c r="F3677" t="s">
        <v>8825</v>
      </c>
      <c r="G3677">
        <v>4</v>
      </c>
      <c r="H3677" t="s">
        <v>718</v>
      </c>
      <c r="I3677" t="s">
        <v>30</v>
      </c>
      <c r="J3677" t="s">
        <v>48</v>
      </c>
      <c r="K3677" t="s">
        <v>20</v>
      </c>
      <c r="L3677" t="s">
        <v>3348</v>
      </c>
      <c r="M3677" s="3" t="str">
        <f>HYPERLINK("..\..\Imagery\ScannedPhotos\1981\VO81-123.3.jpg")</f>
        <v>..\..\Imagery\ScannedPhotos\1981\VO81-123.3.jpg</v>
      </c>
    </row>
    <row r="3678" spans="1:13" x14ac:dyDescent="0.25">
      <c r="A3678" t="s">
        <v>6488</v>
      </c>
      <c r="B3678">
        <v>585145</v>
      </c>
      <c r="C3678">
        <v>5791116</v>
      </c>
      <c r="D3678">
        <v>21</v>
      </c>
      <c r="E3678" t="s">
        <v>15</v>
      </c>
      <c r="F3678" t="s">
        <v>8826</v>
      </c>
      <c r="G3678">
        <v>11</v>
      </c>
      <c r="H3678" t="s">
        <v>813</v>
      </c>
      <c r="I3678" t="s">
        <v>41</v>
      </c>
      <c r="J3678" t="s">
        <v>814</v>
      </c>
      <c r="K3678" t="s">
        <v>535</v>
      </c>
      <c r="L3678" t="s">
        <v>8827</v>
      </c>
      <c r="M3678" s="3" t="str">
        <f>HYPERLINK("..\..\Imagery\ScannedPhotos\1987\CG87-469.9.jpg")</f>
        <v>..\..\Imagery\ScannedPhotos\1987\CG87-469.9.jpg</v>
      </c>
    </row>
    <row r="3679" spans="1:13" x14ac:dyDescent="0.25">
      <c r="A3679" t="s">
        <v>6488</v>
      </c>
      <c r="B3679">
        <v>585145</v>
      </c>
      <c r="C3679">
        <v>5791116</v>
      </c>
      <c r="D3679">
        <v>21</v>
      </c>
      <c r="E3679" t="s">
        <v>15</v>
      </c>
      <c r="F3679" t="s">
        <v>8828</v>
      </c>
      <c r="G3679">
        <v>11</v>
      </c>
      <c r="H3679" t="s">
        <v>2344</v>
      </c>
      <c r="I3679" t="s">
        <v>47</v>
      </c>
      <c r="J3679" t="s">
        <v>2341</v>
      </c>
      <c r="K3679" t="s">
        <v>20</v>
      </c>
      <c r="L3679" t="s">
        <v>8829</v>
      </c>
      <c r="M3679" s="3" t="str">
        <f>HYPERLINK("..\..\Imagery\ScannedPhotos\1987\CG87-469.5.jpg")</f>
        <v>..\..\Imagery\ScannedPhotos\1987\CG87-469.5.jpg</v>
      </c>
    </row>
    <row r="3680" spans="1:13" x14ac:dyDescent="0.25">
      <c r="A3680" t="s">
        <v>6488</v>
      </c>
      <c r="B3680">
        <v>585145</v>
      </c>
      <c r="C3680">
        <v>5791116</v>
      </c>
      <c r="D3680">
        <v>21</v>
      </c>
      <c r="E3680" t="s">
        <v>15</v>
      </c>
      <c r="F3680" t="s">
        <v>8830</v>
      </c>
      <c r="G3680">
        <v>11</v>
      </c>
      <c r="H3680" t="s">
        <v>2484</v>
      </c>
      <c r="I3680" t="s">
        <v>209</v>
      </c>
      <c r="J3680" t="s">
        <v>2485</v>
      </c>
      <c r="K3680" t="s">
        <v>20</v>
      </c>
      <c r="L3680" t="s">
        <v>8829</v>
      </c>
      <c r="M3680" s="3" t="str">
        <f>HYPERLINK("..\..\Imagery\ScannedPhotos\1987\CG87-469.1.jpg")</f>
        <v>..\..\Imagery\ScannedPhotos\1987\CG87-469.1.jpg</v>
      </c>
    </row>
    <row r="3681" spans="1:13" x14ac:dyDescent="0.25">
      <c r="A3681" t="s">
        <v>7342</v>
      </c>
      <c r="B3681">
        <v>472200</v>
      </c>
      <c r="C3681">
        <v>5858250</v>
      </c>
      <c r="D3681">
        <v>21</v>
      </c>
      <c r="E3681" t="s">
        <v>15</v>
      </c>
      <c r="F3681" t="s">
        <v>8831</v>
      </c>
      <c r="G3681">
        <v>2</v>
      </c>
      <c r="H3681" t="s">
        <v>2719</v>
      </c>
      <c r="I3681" t="s">
        <v>69</v>
      </c>
      <c r="J3681" t="s">
        <v>891</v>
      </c>
      <c r="K3681" t="s">
        <v>20</v>
      </c>
      <c r="L3681" t="s">
        <v>8832</v>
      </c>
      <c r="M3681" s="3" t="str">
        <f>HYPERLINK("..\..\Imagery\ScannedPhotos\1991\VN91-261.2.jpg")</f>
        <v>..\..\Imagery\ScannedPhotos\1991\VN91-261.2.jpg</v>
      </c>
    </row>
    <row r="3682" spans="1:13" x14ac:dyDescent="0.25">
      <c r="A3682" t="s">
        <v>8833</v>
      </c>
      <c r="B3682">
        <v>472100</v>
      </c>
      <c r="C3682">
        <v>5858525</v>
      </c>
      <c r="D3682">
        <v>21</v>
      </c>
      <c r="E3682" t="s">
        <v>15</v>
      </c>
      <c r="F3682" t="s">
        <v>8834</v>
      </c>
      <c r="G3682">
        <v>1</v>
      </c>
      <c r="H3682" t="s">
        <v>2719</v>
      </c>
      <c r="I3682" t="s">
        <v>74</v>
      </c>
      <c r="J3682" t="s">
        <v>891</v>
      </c>
      <c r="K3682" t="s">
        <v>20</v>
      </c>
      <c r="L3682" t="s">
        <v>8835</v>
      </c>
      <c r="M3682" s="3" t="str">
        <f>HYPERLINK("..\..\Imagery\ScannedPhotos\1991\VN91-262.jpg")</f>
        <v>..\..\Imagery\ScannedPhotos\1991\VN91-262.jpg</v>
      </c>
    </row>
    <row r="3683" spans="1:13" x14ac:dyDescent="0.25">
      <c r="A3683" t="s">
        <v>1432</v>
      </c>
      <c r="B3683">
        <v>575748</v>
      </c>
      <c r="C3683">
        <v>5824969</v>
      </c>
      <c r="D3683">
        <v>21</v>
      </c>
      <c r="E3683" t="s">
        <v>15</v>
      </c>
      <c r="F3683" t="s">
        <v>8836</v>
      </c>
      <c r="G3683">
        <v>3</v>
      </c>
      <c r="H3683" t="s">
        <v>1232</v>
      </c>
      <c r="I3683" t="s">
        <v>647</v>
      </c>
      <c r="J3683" t="s">
        <v>1233</v>
      </c>
      <c r="K3683" t="s">
        <v>20</v>
      </c>
      <c r="L3683" t="s">
        <v>1434</v>
      </c>
      <c r="M3683" s="3" t="str">
        <f>HYPERLINK("..\..\Imagery\ScannedPhotos\1986\MN86-216.1.jpg")</f>
        <v>..\..\Imagery\ScannedPhotos\1986\MN86-216.1.jpg</v>
      </c>
    </row>
    <row r="3684" spans="1:13" x14ac:dyDescent="0.25">
      <c r="A3684" t="s">
        <v>1432</v>
      </c>
      <c r="B3684">
        <v>575748</v>
      </c>
      <c r="C3684">
        <v>5824969</v>
      </c>
      <c r="D3684">
        <v>21</v>
      </c>
      <c r="E3684" t="s">
        <v>15</v>
      </c>
      <c r="F3684" t="s">
        <v>8837</v>
      </c>
      <c r="G3684">
        <v>3</v>
      </c>
      <c r="H3684" t="s">
        <v>1232</v>
      </c>
      <c r="I3684" t="s">
        <v>114</v>
      </c>
      <c r="J3684" t="s">
        <v>1233</v>
      </c>
      <c r="K3684" t="s">
        <v>20</v>
      </c>
      <c r="L3684" t="s">
        <v>8838</v>
      </c>
      <c r="M3684" s="3" t="str">
        <f>HYPERLINK("..\..\Imagery\ScannedPhotos\1986\MN86-216.3.jpg")</f>
        <v>..\..\Imagery\ScannedPhotos\1986\MN86-216.3.jpg</v>
      </c>
    </row>
    <row r="3685" spans="1:13" x14ac:dyDescent="0.25">
      <c r="A3685" t="s">
        <v>8839</v>
      </c>
      <c r="B3685">
        <v>535280</v>
      </c>
      <c r="C3685">
        <v>5839092</v>
      </c>
      <c r="D3685">
        <v>21</v>
      </c>
      <c r="E3685" t="s">
        <v>15</v>
      </c>
      <c r="F3685" t="s">
        <v>8840</v>
      </c>
      <c r="G3685">
        <v>1</v>
      </c>
      <c r="H3685" t="s">
        <v>299</v>
      </c>
      <c r="I3685" t="s">
        <v>119</v>
      </c>
      <c r="J3685" t="s">
        <v>300</v>
      </c>
      <c r="K3685" t="s">
        <v>20</v>
      </c>
      <c r="L3685" t="s">
        <v>8841</v>
      </c>
      <c r="M3685" s="3" t="str">
        <f>HYPERLINK("..\..\Imagery\ScannedPhotos\1986\MN86-234.jpg")</f>
        <v>..\..\Imagery\ScannedPhotos\1986\MN86-234.jpg</v>
      </c>
    </row>
    <row r="3686" spans="1:13" x14ac:dyDescent="0.25">
      <c r="A3686" t="s">
        <v>8842</v>
      </c>
      <c r="B3686">
        <v>512374</v>
      </c>
      <c r="C3686">
        <v>5839253</v>
      </c>
      <c r="D3686">
        <v>21</v>
      </c>
      <c r="E3686" t="s">
        <v>15</v>
      </c>
      <c r="F3686" t="s">
        <v>8843</v>
      </c>
      <c r="G3686">
        <v>1</v>
      </c>
      <c r="H3686" t="s">
        <v>299</v>
      </c>
      <c r="I3686" t="s">
        <v>122</v>
      </c>
      <c r="J3686" t="s">
        <v>300</v>
      </c>
      <c r="K3686" t="s">
        <v>56</v>
      </c>
      <c r="L3686" t="s">
        <v>8844</v>
      </c>
      <c r="M3686" s="3" t="str">
        <f>HYPERLINK("..\..\Imagery\ScannedPhotos\1986\MN86-238.jpg")</f>
        <v>..\..\Imagery\ScannedPhotos\1986\MN86-238.jpg</v>
      </c>
    </row>
    <row r="3687" spans="1:13" x14ac:dyDescent="0.25">
      <c r="A3687" t="s">
        <v>8845</v>
      </c>
      <c r="B3687">
        <v>510918</v>
      </c>
      <c r="C3687">
        <v>5838338</v>
      </c>
      <c r="D3687">
        <v>21</v>
      </c>
      <c r="E3687" t="s">
        <v>15</v>
      </c>
      <c r="F3687" t="s">
        <v>8846</v>
      </c>
      <c r="G3687">
        <v>1</v>
      </c>
      <c r="H3687" t="s">
        <v>299</v>
      </c>
      <c r="I3687" t="s">
        <v>126</v>
      </c>
      <c r="J3687" t="s">
        <v>300</v>
      </c>
      <c r="K3687" t="s">
        <v>56</v>
      </c>
      <c r="L3687" t="s">
        <v>8847</v>
      </c>
      <c r="M3687" s="3" t="str">
        <f>HYPERLINK("..\..\Imagery\ScannedPhotos\1986\MN86-240.jpg")</f>
        <v>..\..\Imagery\ScannedPhotos\1986\MN86-240.jpg</v>
      </c>
    </row>
    <row r="3688" spans="1:13" x14ac:dyDescent="0.25">
      <c r="A3688" t="s">
        <v>8848</v>
      </c>
      <c r="B3688">
        <v>505692</v>
      </c>
      <c r="C3688">
        <v>5833586</v>
      </c>
      <c r="D3688">
        <v>21</v>
      </c>
      <c r="E3688" t="s">
        <v>15</v>
      </c>
      <c r="F3688" t="s">
        <v>8849</v>
      </c>
      <c r="G3688">
        <v>1</v>
      </c>
      <c r="H3688" t="s">
        <v>299</v>
      </c>
      <c r="I3688" t="s">
        <v>108</v>
      </c>
      <c r="J3688" t="s">
        <v>300</v>
      </c>
      <c r="K3688" t="s">
        <v>20</v>
      </c>
      <c r="L3688" t="s">
        <v>4133</v>
      </c>
      <c r="M3688" s="3" t="str">
        <f>HYPERLINK("..\..\Imagery\ScannedPhotos\1986\MN86-249.jpg")</f>
        <v>..\..\Imagery\ScannedPhotos\1986\MN86-249.jpg</v>
      </c>
    </row>
    <row r="3689" spans="1:13" x14ac:dyDescent="0.25">
      <c r="A3689" t="s">
        <v>8850</v>
      </c>
      <c r="B3689">
        <v>570115</v>
      </c>
      <c r="C3689">
        <v>5827520</v>
      </c>
      <c r="D3689">
        <v>21</v>
      </c>
      <c r="E3689" t="s">
        <v>15</v>
      </c>
      <c r="F3689" t="s">
        <v>8851</v>
      </c>
      <c r="G3689">
        <v>1</v>
      </c>
      <c r="H3689" t="s">
        <v>3303</v>
      </c>
      <c r="I3689" t="s">
        <v>304</v>
      </c>
      <c r="J3689" t="s">
        <v>300</v>
      </c>
      <c r="K3689" t="s">
        <v>20</v>
      </c>
      <c r="L3689" t="s">
        <v>8852</v>
      </c>
      <c r="M3689" s="3" t="str">
        <f>HYPERLINK("..\..\Imagery\ScannedPhotos\1986\SN86-219.jpg")</f>
        <v>..\..\Imagery\ScannedPhotos\1986\SN86-219.jpg</v>
      </c>
    </row>
    <row r="3690" spans="1:13" x14ac:dyDescent="0.25">
      <c r="A3690" t="s">
        <v>8853</v>
      </c>
      <c r="B3690">
        <v>387701</v>
      </c>
      <c r="C3690">
        <v>5848593</v>
      </c>
      <c r="D3690">
        <v>21</v>
      </c>
      <c r="E3690" t="s">
        <v>15</v>
      </c>
      <c r="F3690" t="s">
        <v>8854</v>
      </c>
      <c r="G3690">
        <v>1</v>
      </c>
      <c r="H3690" t="s">
        <v>1397</v>
      </c>
      <c r="I3690" t="s">
        <v>209</v>
      </c>
      <c r="J3690" t="s">
        <v>771</v>
      </c>
      <c r="K3690" t="s">
        <v>56</v>
      </c>
      <c r="L3690" t="s">
        <v>8855</v>
      </c>
      <c r="M3690" s="3" t="str">
        <f>HYPERLINK("..\..\Imagery\ScannedPhotos\1997\CG97-183.jpg")</f>
        <v>..\..\Imagery\ScannedPhotos\1997\CG97-183.jpg</v>
      </c>
    </row>
    <row r="3691" spans="1:13" x14ac:dyDescent="0.25">
      <c r="A3691" t="s">
        <v>8856</v>
      </c>
      <c r="B3691">
        <v>387800</v>
      </c>
      <c r="C3691">
        <v>5845340</v>
      </c>
      <c r="D3691">
        <v>21</v>
      </c>
      <c r="E3691" t="s">
        <v>15</v>
      </c>
      <c r="F3691" t="s">
        <v>8857</v>
      </c>
      <c r="G3691">
        <v>2</v>
      </c>
      <c r="H3691" t="s">
        <v>1397</v>
      </c>
      <c r="I3691" t="s">
        <v>386</v>
      </c>
      <c r="J3691" t="s">
        <v>771</v>
      </c>
      <c r="K3691" t="s">
        <v>228</v>
      </c>
      <c r="L3691" t="s">
        <v>8858</v>
      </c>
      <c r="M3691" s="3" t="str">
        <f>HYPERLINK("..\..\Imagery\ScannedPhotos\1997\CG97-187.1.jpg")</f>
        <v>..\..\Imagery\ScannedPhotos\1997\CG97-187.1.jpg</v>
      </c>
    </row>
    <row r="3692" spans="1:13" x14ac:dyDescent="0.25">
      <c r="A3692" t="s">
        <v>8859</v>
      </c>
      <c r="B3692">
        <v>414855</v>
      </c>
      <c r="C3692">
        <v>5828083</v>
      </c>
      <c r="D3692">
        <v>21</v>
      </c>
      <c r="E3692" t="s">
        <v>15</v>
      </c>
      <c r="F3692" t="s">
        <v>8860</v>
      </c>
      <c r="G3692">
        <v>1</v>
      </c>
      <c r="H3692" t="s">
        <v>1397</v>
      </c>
      <c r="I3692" t="s">
        <v>214</v>
      </c>
      <c r="J3692" t="s">
        <v>771</v>
      </c>
      <c r="K3692" t="s">
        <v>20</v>
      </c>
      <c r="L3692" t="s">
        <v>8861</v>
      </c>
      <c r="M3692" s="3" t="str">
        <f>HYPERLINK("..\..\Imagery\ScannedPhotos\1997\CG97-190.jpg")</f>
        <v>..\..\Imagery\ScannedPhotos\1997\CG97-190.jpg</v>
      </c>
    </row>
    <row r="3693" spans="1:13" x14ac:dyDescent="0.25">
      <c r="A3693" t="s">
        <v>8862</v>
      </c>
      <c r="B3693">
        <v>429309</v>
      </c>
      <c r="C3693">
        <v>5818225</v>
      </c>
      <c r="D3693">
        <v>21</v>
      </c>
      <c r="E3693" t="s">
        <v>15</v>
      </c>
      <c r="F3693" t="s">
        <v>8863</v>
      </c>
      <c r="G3693">
        <v>1</v>
      </c>
      <c r="H3693" t="s">
        <v>1397</v>
      </c>
      <c r="I3693" t="s">
        <v>418</v>
      </c>
      <c r="J3693" t="s">
        <v>771</v>
      </c>
      <c r="K3693" t="s">
        <v>228</v>
      </c>
      <c r="L3693" t="s">
        <v>8864</v>
      </c>
      <c r="M3693" s="3" t="str">
        <f>HYPERLINK("..\..\Imagery\ScannedPhotos\1997\CG97-191.jpg")</f>
        <v>..\..\Imagery\ScannedPhotos\1997\CG97-191.jpg</v>
      </c>
    </row>
    <row r="3694" spans="1:13" x14ac:dyDescent="0.25">
      <c r="A3694" t="s">
        <v>8865</v>
      </c>
      <c r="B3694">
        <v>497325</v>
      </c>
      <c r="C3694">
        <v>5816200</v>
      </c>
      <c r="D3694">
        <v>21</v>
      </c>
      <c r="E3694" t="s">
        <v>15</v>
      </c>
      <c r="F3694" t="s">
        <v>8866</v>
      </c>
      <c r="G3694">
        <v>2</v>
      </c>
      <c r="H3694" t="s">
        <v>2340</v>
      </c>
      <c r="I3694" t="s">
        <v>294</v>
      </c>
      <c r="J3694" t="s">
        <v>2341</v>
      </c>
      <c r="K3694" t="s">
        <v>56</v>
      </c>
      <c r="L3694" t="s">
        <v>322</v>
      </c>
      <c r="M3694" s="3" t="str">
        <f>HYPERLINK("..\..\Imagery\ScannedPhotos\1992\HP92-001.1.jpg")</f>
        <v>..\..\Imagery\ScannedPhotos\1992\HP92-001.1.jpg</v>
      </c>
    </row>
    <row r="3695" spans="1:13" x14ac:dyDescent="0.25">
      <c r="A3695" t="s">
        <v>8865</v>
      </c>
      <c r="B3695">
        <v>497325</v>
      </c>
      <c r="C3695">
        <v>5816200</v>
      </c>
      <c r="D3695">
        <v>21</v>
      </c>
      <c r="E3695" t="s">
        <v>15</v>
      </c>
      <c r="F3695" t="s">
        <v>8867</v>
      </c>
      <c r="G3695">
        <v>2</v>
      </c>
      <c r="H3695" t="s">
        <v>2340</v>
      </c>
      <c r="I3695" t="s">
        <v>79</v>
      </c>
      <c r="J3695" t="s">
        <v>2341</v>
      </c>
      <c r="K3695" t="s">
        <v>56</v>
      </c>
      <c r="L3695" t="s">
        <v>322</v>
      </c>
      <c r="M3695" s="3" t="str">
        <f>HYPERLINK("..\..\Imagery\ScannedPhotos\1992\HP92-001.2.jpg")</f>
        <v>..\..\Imagery\ScannedPhotos\1992\HP92-001.2.jpg</v>
      </c>
    </row>
    <row r="3696" spans="1:13" x14ac:dyDescent="0.25">
      <c r="A3696" t="s">
        <v>2348</v>
      </c>
      <c r="B3696">
        <v>493688</v>
      </c>
      <c r="C3696">
        <v>5832496</v>
      </c>
      <c r="D3696">
        <v>21</v>
      </c>
      <c r="E3696" t="s">
        <v>15</v>
      </c>
      <c r="F3696" t="s">
        <v>8868</v>
      </c>
      <c r="G3696">
        <v>8</v>
      </c>
      <c r="H3696" t="s">
        <v>968</v>
      </c>
      <c r="I3696" t="s">
        <v>281</v>
      </c>
      <c r="J3696" t="s">
        <v>42</v>
      </c>
      <c r="K3696" t="s">
        <v>56</v>
      </c>
      <c r="L3696" t="s">
        <v>8869</v>
      </c>
      <c r="M3696" s="3" t="str">
        <f>HYPERLINK("..\..\Imagery\ScannedPhotos\1991\VN91-001.2.jpg")</f>
        <v>..\..\Imagery\ScannedPhotos\1991\VN91-001.2.jpg</v>
      </c>
    </row>
    <row r="3697" spans="1:13" x14ac:dyDescent="0.25">
      <c r="A3697" t="s">
        <v>8870</v>
      </c>
      <c r="B3697">
        <v>488921</v>
      </c>
      <c r="C3697">
        <v>5841047</v>
      </c>
      <c r="D3697">
        <v>21</v>
      </c>
      <c r="E3697" t="s">
        <v>15</v>
      </c>
      <c r="F3697" t="s">
        <v>8871</v>
      </c>
      <c r="G3697">
        <v>4</v>
      </c>
      <c r="H3697" t="s">
        <v>968</v>
      </c>
      <c r="I3697" t="s">
        <v>85</v>
      </c>
      <c r="J3697" t="s">
        <v>42</v>
      </c>
      <c r="K3697" t="s">
        <v>20</v>
      </c>
      <c r="L3697" t="s">
        <v>8872</v>
      </c>
      <c r="M3697" s="3" t="str">
        <f>HYPERLINK("..\..\Imagery\ScannedPhotos\1991\VN91-002.1.jpg")</f>
        <v>..\..\Imagery\ScannedPhotos\1991\VN91-002.1.jpg</v>
      </c>
    </row>
    <row r="3698" spans="1:13" x14ac:dyDescent="0.25">
      <c r="A3698" t="s">
        <v>8870</v>
      </c>
      <c r="B3698">
        <v>488921</v>
      </c>
      <c r="C3698">
        <v>5841047</v>
      </c>
      <c r="D3698">
        <v>21</v>
      </c>
      <c r="E3698" t="s">
        <v>15</v>
      </c>
      <c r="F3698" t="s">
        <v>8873</v>
      </c>
      <c r="G3698">
        <v>4</v>
      </c>
      <c r="H3698" t="s">
        <v>968</v>
      </c>
      <c r="I3698" t="s">
        <v>375</v>
      </c>
      <c r="J3698" t="s">
        <v>42</v>
      </c>
      <c r="K3698" t="s">
        <v>20</v>
      </c>
      <c r="L3698" t="s">
        <v>8872</v>
      </c>
      <c r="M3698" s="3" t="str">
        <f>HYPERLINK("..\..\Imagery\ScannedPhotos\1991\VN91-002.2.jpg")</f>
        <v>..\..\Imagery\ScannedPhotos\1991\VN91-002.2.jpg</v>
      </c>
    </row>
    <row r="3699" spans="1:13" x14ac:dyDescent="0.25">
      <c r="A3699" t="s">
        <v>8870</v>
      </c>
      <c r="B3699">
        <v>488921</v>
      </c>
      <c r="C3699">
        <v>5841047</v>
      </c>
      <c r="D3699">
        <v>21</v>
      </c>
      <c r="E3699" t="s">
        <v>15</v>
      </c>
      <c r="F3699" t="s">
        <v>8874</v>
      </c>
      <c r="G3699">
        <v>4</v>
      </c>
      <c r="H3699" t="s">
        <v>968</v>
      </c>
      <c r="I3699" t="s">
        <v>94</v>
      </c>
      <c r="J3699" t="s">
        <v>42</v>
      </c>
      <c r="K3699" t="s">
        <v>20</v>
      </c>
      <c r="L3699" t="s">
        <v>8875</v>
      </c>
      <c r="M3699" s="3" t="str">
        <f>HYPERLINK("..\..\Imagery\ScannedPhotos\1991\VN91-002.3.jpg")</f>
        <v>..\..\Imagery\ScannedPhotos\1991\VN91-002.3.jpg</v>
      </c>
    </row>
    <row r="3700" spans="1:13" x14ac:dyDescent="0.25">
      <c r="A3700" t="s">
        <v>8870</v>
      </c>
      <c r="B3700">
        <v>488921</v>
      </c>
      <c r="C3700">
        <v>5841047</v>
      </c>
      <c r="D3700">
        <v>21</v>
      </c>
      <c r="E3700" t="s">
        <v>15</v>
      </c>
      <c r="F3700" t="s">
        <v>8876</v>
      </c>
      <c r="G3700">
        <v>4</v>
      </c>
      <c r="H3700" t="s">
        <v>968</v>
      </c>
      <c r="I3700" t="s">
        <v>209</v>
      </c>
      <c r="J3700" t="s">
        <v>42</v>
      </c>
      <c r="K3700" t="s">
        <v>20</v>
      </c>
      <c r="L3700" t="s">
        <v>4246</v>
      </c>
      <c r="M3700" s="3" t="str">
        <f>HYPERLINK("..\..\Imagery\ScannedPhotos\1991\VN91-002.4.jpg")</f>
        <v>..\..\Imagery\ScannedPhotos\1991\VN91-002.4.jpg</v>
      </c>
    </row>
    <row r="3701" spans="1:13" x14ac:dyDescent="0.25">
      <c r="A3701" t="s">
        <v>966</v>
      </c>
      <c r="B3701">
        <v>496686</v>
      </c>
      <c r="C3701">
        <v>5869509</v>
      </c>
      <c r="D3701">
        <v>21</v>
      </c>
      <c r="E3701" t="s">
        <v>15</v>
      </c>
      <c r="F3701" t="s">
        <v>8877</v>
      </c>
      <c r="G3701">
        <v>5</v>
      </c>
      <c r="H3701" t="s">
        <v>968</v>
      </c>
      <c r="I3701" t="s">
        <v>418</v>
      </c>
      <c r="J3701" t="s">
        <v>42</v>
      </c>
      <c r="K3701" t="s">
        <v>20</v>
      </c>
      <c r="L3701" t="s">
        <v>8878</v>
      </c>
      <c r="M3701" s="3" t="str">
        <f>HYPERLINK("..\..\Imagery\ScannedPhotos\1991\VN91-005.5.jpg")</f>
        <v>..\..\Imagery\ScannedPhotos\1991\VN91-005.5.jpg</v>
      </c>
    </row>
    <row r="3702" spans="1:13" x14ac:dyDescent="0.25">
      <c r="A3702" t="s">
        <v>1702</v>
      </c>
      <c r="B3702">
        <v>412968</v>
      </c>
      <c r="C3702">
        <v>5994972</v>
      </c>
      <c r="D3702">
        <v>21</v>
      </c>
      <c r="E3702" t="s">
        <v>15</v>
      </c>
      <c r="F3702" t="s">
        <v>8879</v>
      </c>
      <c r="G3702">
        <v>4</v>
      </c>
      <c r="H3702" t="s">
        <v>758</v>
      </c>
      <c r="I3702" t="s">
        <v>114</v>
      </c>
      <c r="J3702" t="s">
        <v>759</v>
      </c>
      <c r="K3702" t="s">
        <v>20</v>
      </c>
      <c r="L3702" t="s">
        <v>8880</v>
      </c>
      <c r="M3702" s="3" t="str">
        <f>HYPERLINK("..\..\Imagery\ScannedPhotos\1980\RG80-065.3.jpg")</f>
        <v>..\..\Imagery\ScannedPhotos\1980\RG80-065.3.jpg</v>
      </c>
    </row>
    <row r="3703" spans="1:13" x14ac:dyDescent="0.25">
      <c r="A3703" t="s">
        <v>4050</v>
      </c>
      <c r="B3703">
        <v>387437</v>
      </c>
      <c r="C3703">
        <v>6093804</v>
      </c>
      <c r="D3703">
        <v>21</v>
      </c>
      <c r="E3703" t="s">
        <v>15</v>
      </c>
      <c r="F3703" t="s">
        <v>8881</v>
      </c>
      <c r="G3703">
        <v>4</v>
      </c>
      <c r="H3703" t="s">
        <v>4048</v>
      </c>
      <c r="I3703" t="s">
        <v>69</v>
      </c>
      <c r="J3703" t="s">
        <v>355</v>
      </c>
      <c r="K3703" t="s">
        <v>56</v>
      </c>
      <c r="L3703" t="s">
        <v>4052</v>
      </c>
      <c r="M3703" s="3" t="str">
        <f>HYPERLINK("..\..\Imagery\ScannedPhotos\1979\AD79-145.3.jpg")</f>
        <v>..\..\Imagery\ScannedPhotos\1979\AD79-145.3.jpg</v>
      </c>
    </row>
    <row r="3704" spans="1:13" x14ac:dyDescent="0.25">
      <c r="A3704" t="s">
        <v>8882</v>
      </c>
      <c r="B3704">
        <v>376667</v>
      </c>
      <c r="C3704">
        <v>6094390</v>
      </c>
      <c r="D3704">
        <v>21</v>
      </c>
      <c r="E3704" t="s">
        <v>15</v>
      </c>
      <c r="F3704" t="s">
        <v>8883</v>
      </c>
      <c r="G3704">
        <v>1</v>
      </c>
      <c r="H3704" t="s">
        <v>4048</v>
      </c>
      <c r="I3704" t="s">
        <v>94</v>
      </c>
      <c r="J3704" t="s">
        <v>355</v>
      </c>
      <c r="K3704" t="s">
        <v>20</v>
      </c>
      <c r="L3704" t="s">
        <v>8884</v>
      </c>
      <c r="M3704" s="3" t="str">
        <f>HYPERLINK("..\..\Imagery\ScannedPhotos\1979\AD79-152.jpg")</f>
        <v>..\..\Imagery\ScannedPhotos\1979\AD79-152.jpg</v>
      </c>
    </row>
    <row r="3705" spans="1:13" x14ac:dyDescent="0.25">
      <c r="A3705" t="s">
        <v>8885</v>
      </c>
      <c r="B3705">
        <v>385609</v>
      </c>
      <c r="C3705">
        <v>6090448</v>
      </c>
      <c r="D3705">
        <v>21</v>
      </c>
      <c r="E3705" t="s">
        <v>15</v>
      </c>
      <c r="F3705" t="s">
        <v>8886</v>
      </c>
      <c r="G3705">
        <v>1</v>
      </c>
      <c r="H3705" t="s">
        <v>4048</v>
      </c>
      <c r="I3705" t="s">
        <v>360</v>
      </c>
      <c r="J3705" t="s">
        <v>355</v>
      </c>
      <c r="K3705" t="s">
        <v>20</v>
      </c>
      <c r="L3705" t="s">
        <v>8887</v>
      </c>
      <c r="M3705" s="3" t="str">
        <f>HYPERLINK("..\..\Imagery\ScannedPhotos\1979\AD79-156.jpg")</f>
        <v>..\..\Imagery\ScannedPhotos\1979\AD79-156.jpg</v>
      </c>
    </row>
    <row r="3706" spans="1:13" x14ac:dyDescent="0.25">
      <c r="A3706" t="s">
        <v>8888</v>
      </c>
      <c r="B3706">
        <v>384931</v>
      </c>
      <c r="C3706">
        <v>6095133</v>
      </c>
      <c r="D3706">
        <v>21</v>
      </c>
      <c r="E3706" t="s">
        <v>15</v>
      </c>
      <c r="F3706" t="s">
        <v>8889</v>
      </c>
      <c r="G3706">
        <v>1</v>
      </c>
      <c r="H3706" t="s">
        <v>4048</v>
      </c>
      <c r="I3706" t="s">
        <v>114</v>
      </c>
      <c r="J3706" t="s">
        <v>355</v>
      </c>
      <c r="K3706" t="s">
        <v>20</v>
      </c>
      <c r="L3706" t="s">
        <v>8890</v>
      </c>
      <c r="M3706" s="3" t="str">
        <f>HYPERLINK("..\..\Imagery\ScannedPhotos\1979\AD79-160.jpg")</f>
        <v>..\..\Imagery\ScannedPhotos\1979\AD79-160.jpg</v>
      </c>
    </row>
    <row r="3707" spans="1:13" x14ac:dyDescent="0.25">
      <c r="A3707" t="s">
        <v>8891</v>
      </c>
      <c r="B3707">
        <v>501279</v>
      </c>
      <c r="C3707">
        <v>5800626</v>
      </c>
      <c r="D3707">
        <v>21</v>
      </c>
      <c r="E3707" t="s">
        <v>15</v>
      </c>
      <c r="F3707" t="s">
        <v>8892</v>
      </c>
      <c r="G3707">
        <v>1</v>
      </c>
      <c r="H3707" t="s">
        <v>308</v>
      </c>
      <c r="I3707" t="s">
        <v>25</v>
      </c>
      <c r="J3707" t="s">
        <v>309</v>
      </c>
      <c r="K3707" t="s">
        <v>56</v>
      </c>
      <c r="L3707" t="s">
        <v>8893</v>
      </c>
      <c r="M3707" s="3" t="str">
        <f>HYPERLINK("..\..\Imagery\ScannedPhotos\1987\VN87-081.jpg")</f>
        <v>..\..\Imagery\ScannedPhotos\1987\VN87-081.jpg</v>
      </c>
    </row>
    <row r="3708" spans="1:13" x14ac:dyDescent="0.25">
      <c r="A3708" t="s">
        <v>8894</v>
      </c>
      <c r="B3708">
        <v>531330</v>
      </c>
      <c r="C3708">
        <v>5800970</v>
      </c>
      <c r="D3708">
        <v>21</v>
      </c>
      <c r="E3708" t="s">
        <v>15</v>
      </c>
      <c r="F3708" t="s">
        <v>8895</v>
      </c>
      <c r="G3708">
        <v>1</v>
      </c>
      <c r="H3708" t="s">
        <v>308</v>
      </c>
      <c r="I3708" t="s">
        <v>360</v>
      </c>
      <c r="J3708" t="s">
        <v>309</v>
      </c>
      <c r="K3708" t="s">
        <v>20</v>
      </c>
      <c r="L3708" t="s">
        <v>6960</v>
      </c>
      <c r="M3708" s="3" t="str">
        <f>HYPERLINK("..\..\Imagery\ScannedPhotos\1987\VN87-093.jpg")</f>
        <v>..\..\Imagery\ScannedPhotos\1987\VN87-093.jpg</v>
      </c>
    </row>
    <row r="3709" spans="1:13" x14ac:dyDescent="0.25">
      <c r="A3709" t="s">
        <v>4354</v>
      </c>
      <c r="B3709">
        <v>578880</v>
      </c>
      <c r="C3709">
        <v>5789112</v>
      </c>
      <c r="D3709">
        <v>21</v>
      </c>
      <c r="E3709" t="s">
        <v>15</v>
      </c>
      <c r="F3709" t="s">
        <v>8896</v>
      </c>
      <c r="G3709">
        <v>2</v>
      </c>
      <c r="H3709" t="s">
        <v>308</v>
      </c>
      <c r="I3709" t="s">
        <v>126</v>
      </c>
      <c r="J3709" t="s">
        <v>309</v>
      </c>
      <c r="K3709" t="s">
        <v>20</v>
      </c>
      <c r="L3709" t="s">
        <v>8897</v>
      </c>
      <c r="M3709" s="3" t="str">
        <f>HYPERLINK("..\..\Imagery\ScannedPhotos\1987\VN87-111.1.jpg")</f>
        <v>..\..\Imagery\ScannedPhotos\1987\VN87-111.1.jpg</v>
      </c>
    </row>
    <row r="3710" spans="1:13" x14ac:dyDescent="0.25">
      <c r="A3710" t="s">
        <v>8898</v>
      </c>
      <c r="B3710">
        <v>445903</v>
      </c>
      <c r="C3710">
        <v>6075344</v>
      </c>
      <c r="D3710">
        <v>21</v>
      </c>
      <c r="E3710" t="s">
        <v>15</v>
      </c>
      <c r="F3710" t="s">
        <v>8899</v>
      </c>
      <c r="G3710">
        <v>1</v>
      </c>
      <c r="H3710" t="s">
        <v>1833</v>
      </c>
      <c r="I3710" t="s">
        <v>47</v>
      </c>
      <c r="J3710" t="s">
        <v>610</v>
      </c>
      <c r="K3710" t="s">
        <v>228</v>
      </c>
      <c r="L3710" t="s">
        <v>8900</v>
      </c>
      <c r="M3710" s="3" t="str">
        <f>HYPERLINK("..\..\Imagery\ScannedPhotos\1979\CG79-220.jpg")</f>
        <v>..\..\Imagery\ScannedPhotos\1979\CG79-220.jpg</v>
      </c>
    </row>
    <row r="3711" spans="1:13" x14ac:dyDescent="0.25">
      <c r="A3711" t="s">
        <v>8901</v>
      </c>
      <c r="B3711">
        <v>571547</v>
      </c>
      <c r="C3711">
        <v>5829518</v>
      </c>
      <c r="D3711">
        <v>21</v>
      </c>
      <c r="E3711" t="s">
        <v>15</v>
      </c>
      <c r="F3711" t="s">
        <v>8902</v>
      </c>
      <c r="G3711">
        <v>2</v>
      </c>
      <c r="H3711" t="s">
        <v>3303</v>
      </c>
      <c r="I3711" t="s">
        <v>375</v>
      </c>
      <c r="J3711" t="s">
        <v>300</v>
      </c>
      <c r="K3711" t="s">
        <v>20</v>
      </c>
      <c r="L3711" t="s">
        <v>8903</v>
      </c>
      <c r="M3711" s="3" t="str">
        <f>HYPERLINK("..\..\Imagery\ScannedPhotos\1986\SN86-199.2.jpg")</f>
        <v>..\..\Imagery\ScannedPhotos\1986\SN86-199.2.jpg</v>
      </c>
    </row>
    <row r="3712" spans="1:13" x14ac:dyDescent="0.25">
      <c r="A3712" t="s">
        <v>8901</v>
      </c>
      <c r="B3712">
        <v>571547</v>
      </c>
      <c r="C3712">
        <v>5829518</v>
      </c>
      <c r="D3712">
        <v>21</v>
      </c>
      <c r="E3712" t="s">
        <v>15</v>
      </c>
      <c r="F3712" t="s">
        <v>8904</v>
      </c>
      <c r="G3712">
        <v>2</v>
      </c>
      <c r="H3712" t="s">
        <v>3303</v>
      </c>
      <c r="I3712" t="s">
        <v>85</v>
      </c>
      <c r="J3712" t="s">
        <v>300</v>
      </c>
      <c r="K3712" t="s">
        <v>20</v>
      </c>
      <c r="L3712" t="s">
        <v>8905</v>
      </c>
      <c r="M3712" s="3" t="str">
        <f>HYPERLINK("..\..\Imagery\ScannedPhotos\1986\SN86-199.1.jpg")</f>
        <v>..\..\Imagery\ScannedPhotos\1986\SN86-199.1.jpg</v>
      </c>
    </row>
    <row r="3713" spans="1:13" x14ac:dyDescent="0.25">
      <c r="A3713" t="s">
        <v>8906</v>
      </c>
      <c r="B3713">
        <v>514264</v>
      </c>
      <c r="C3713">
        <v>5843794</v>
      </c>
      <c r="D3713">
        <v>21</v>
      </c>
      <c r="E3713" t="s">
        <v>15</v>
      </c>
      <c r="F3713" t="s">
        <v>8907</v>
      </c>
      <c r="G3713">
        <v>4</v>
      </c>
      <c r="H3713" t="s">
        <v>3303</v>
      </c>
      <c r="I3713" t="s">
        <v>386</v>
      </c>
      <c r="J3713" t="s">
        <v>300</v>
      </c>
      <c r="K3713" t="s">
        <v>56</v>
      </c>
      <c r="L3713" t="s">
        <v>8908</v>
      </c>
      <c r="M3713" s="3" t="str">
        <f>HYPERLINK("..\..\Imagery\ScannedPhotos\1986\SN86-214.1.jpg")</f>
        <v>..\..\Imagery\ScannedPhotos\1986\SN86-214.1.jpg</v>
      </c>
    </row>
    <row r="3714" spans="1:13" x14ac:dyDescent="0.25">
      <c r="A3714" t="s">
        <v>8906</v>
      </c>
      <c r="B3714">
        <v>514264</v>
      </c>
      <c r="C3714">
        <v>5843794</v>
      </c>
      <c r="D3714">
        <v>21</v>
      </c>
      <c r="E3714" t="s">
        <v>15</v>
      </c>
      <c r="F3714" t="s">
        <v>8909</v>
      </c>
      <c r="G3714">
        <v>4</v>
      </c>
      <c r="H3714" t="s">
        <v>3303</v>
      </c>
      <c r="I3714" t="s">
        <v>214</v>
      </c>
      <c r="J3714" t="s">
        <v>300</v>
      </c>
      <c r="K3714" t="s">
        <v>56</v>
      </c>
      <c r="L3714" t="s">
        <v>8910</v>
      </c>
      <c r="M3714" s="3" t="str">
        <f>HYPERLINK("..\..\Imagery\ScannedPhotos\1986\SN86-214.3.jpg")</f>
        <v>..\..\Imagery\ScannedPhotos\1986\SN86-214.3.jpg</v>
      </c>
    </row>
    <row r="3715" spans="1:13" x14ac:dyDescent="0.25">
      <c r="A3715" t="s">
        <v>8906</v>
      </c>
      <c r="B3715">
        <v>514264</v>
      </c>
      <c r="C3715">
        <v>5843794</v>
      </c>
      <c r="D3715">
        <v>21</v>
      </c>
      <c r="E3715" t="s">
        <v>15</v>
      </c>
      <c r="F3715" t="s">
        <v>8911</v>
      </c>
      <c r="G3715">
        <v>4</v>
      </c>
      <c r="H3715" t="s">
        <v>3303</v>
      </c>
      <c r="I3715" t="s">
        <v>222</v>
      </c>
      <c r="J3715" t="s">
        <v>300</v>
      </c>
      <c r="K3715" t="s">
        <v>20</v>
      </c>
      <c r="L3715" t="s">
        <v>8910</v>
      </c>
      <c r="M3715" s="3" t="str">
        <f>HYPERLINK("..\..\Imagery\ScannedPhotos\1986\SN86-214.4.jpg")</f>
        <v>..\..\Imagery\ScannedPhotos\1986\SN86-214.4.jpg</v>
      </c>
    </row>
    <row r="3716" spans="1:13" x14ac:dyDescent="0.25">
      <c r="A3716" t="s">
        <v>8912</v>
      </c>
      <c r="B3716">
        <v>503913</v>
      </c>
      <c r="C3716">
        <v>5831252</v>
      </c>
      <c r="D3716">
        <v>21</v>
      </c>
      <c r="E3716" t="s">
        <v>15</v>
      </c>
      <c r="F3716" t="s">
        <v>8913</v>
      </c>
      <c r="G3716">
        <v>3</v>
      </c>
      <c r="H3716" t="s">
        <v>7534</v>
      </c>
      <c r="I3716" t="s">
        <v>294</v>
      </c>
      <c r="J3716" t="s">
        <v>1233</v>
      </c>
      <c r="K3716" t="s">
        <v>56</v>
      </c>
      <c r="L3716" t="s">
        <v>4133</v>
      </c>
      <c r="M3716" s="3" t="str">
        <f>HYPERLINK("..\..\Imagery\ScannedPhotos\1986\CG86-327.1.jpg")</f>
        <v>..\..\Imagery\ScannedPhotos\1986\CG86-327.1.jpg</v>
      </c>
    </row>
    <row r="3717" spans="1:13" x14ac:dyDescent="0.25">
      <c r="A3717" t="s">
        <v>8912</v>
      </c>
      <c r="B3717">
        <v>503913</v>
      </c>
      <c r="C3717">
        <v>5831252</v>
      </c>
      <c r="D3717">
        <v>21</v>
      </c>
      <c r="E3717" t="s">
        <v>15</v>
      </c>
      <c r="F3717" t="s">
        <v>8914</v>
      </c>
      <c r="G3717">
        <v>3</v>
      </c>
      <c r="H3717" t="s">
        <v>7534</v>
      </c>
      <c r="I3717" t="s">
        <v>79</v>
      </c>
      <c r="J3717" t="s">
        <v>1233</v>
      </c>
      <c r="K3717" t="s">
        <v>56</v>
      </c>
      <c r="L3717" t="s">
        <v>4133</v>
      </c>
      <c r="M3717" s="3" t="str">
        <f>HYPERLINK("..\..\Imagery\ScannedPhotos\1986\CG86-327.2.jpg")</f>
        <v>..\..\Imagery\ScannedPhotos\1986\CG86-327.2.jpg</v>
      </c>
    </row>
    <row r="3718" spans="1:13" x14ac:dyDescent="0.25">
      <c r="A3718" t="s">
        <v>8915</v>
      </c>
      <c r="B3718">
        <v>584987</v>
      </c>
      <c r="C3718">
        <v>5815099</v>
      </c>
      <c r="D3718">
        <v>21</v>
      </c>
      <c r="E3718" t="s">
        <v>15</v>
      </c>
      <c r="F3718" t="s">
        <v>8916</v>
      </c>
      <c r="G3718">
        <v>1</v>
      </c>
      <c r="H3718" t="s">
        <v>796</v>
      </c>
      <c r="I3718" t="s">
        <v>143</v>
      </c>
      <c r="J3718" t="s">
        <v>797</v>
      </c>
      <c r="K3718" t="s">
        <v>20</v>
      </c>
      <c r="L3718" t="s">
        <v>8917</v>
      </c>
      <c r="M3718" s="3" t="str">
        <f>HYPERLINK("..\..\Imagery\ScannedPhotos\1987\JS87-207.jpg")</f>
        <v>..\..\Imagery\ScannedPhotos\1987\JS87-207.jpg</v>
      </c>
    </row>
    <row r="3719" spans="1:13" x14ac:dyDescent="0.25">
      <c r="A3719" t="s">
        <v>8918</v>
      </c>
      <c r="B3719">
        <v>482433</v>
      </c>
      <c r="C3719">
        <v>5833652</v>
      </c>
      <c r="D3719">
        <v>21</v>
      </c>
      <c r="E3719" t="s">
        <v>15</v>
      </c>
      <c r="F3719" t="s">
        <v>8919</v>
      </c>
      <c r="G3719">
        <v>2</v>
      </c>
      <c r="H3719" t="s">
        <v>2789</v>
      </c>
      <c r="I3719" t="s">
        <v>647</v>
      </c>
      <c r="J3719" t="s">
        <v>413</v>
      </c>
      <c r="K3719" t="s">
        <v>56</v>
      </c>
      <c r="L3719" t="s">
        <v>8920</v>
      </c>
      <c r="M3719" s="3" t="str">
        <f>HYPERLINK("..\..\Imagery\ScannedPhotos\1991\VN91-144.2.jpg")</f>
        <v>..\..\Imagery\ScannedPhotos\1991\VN91-144.2.jpg</v>
      </c>
    </row>
    <row r="3720" spans="1:13" x14ac:dyDescent="0.25">
      <c r="A3720" t="s">
        <v>8918</v>
      </c>
      <c r="B3720">
        <v>482433</v>
      </c>
      <c r="C3720">
        <v>5833652</v>
      </c>
      <c r="D3720">
        <v>21</v>
      </c>
      <c r="E3720" t="s">
        <v>15</v>
      </c>
      <c r="F3720" t="s">
        <v>8921</v>
      </c>
      <c r="G3720">
        <v>2</v>
      </c>
      <c r="H3720" t="s">
        <v>2789</v>
      </c>
      <c r="I3720" t="s">
        <v>360</v>
      </c>
      <c r="J3720" t="s">
        <v>413</v>
      </c>
      <c r="K3720" t="s">
        <v>56</v>
      </c>
      <c r="L3720" t="s">
        <v>8922</v>
      </c>
      <c r="M3720" s="3" t="str">
        <f>HYPERLINK("..\..\Imagery\ScannedPhotos\1991\VN91-144.1.jpg")</f>
        <v>..\..\Imagery\ScannedPhotos\1991\VN91-144.1.jpg</v>
      </c>
    </row>
    <row r="3721" spans="1:13" x14ac:dyDescent="0.25">
      <c r="A3721" t="s">
        <v>8923</v>
      </c>
      <c r="B3721">
        <v>482542</v>
      </c>
      <c r="C3721">
        <v>5833098</v>
      </c>
      <c r="D3721">
        <v>21</v>
      </c>
      <c r="E3721" t="s">
        <v>15</v>
      </c>
      <c r="F3721" t="s">
        <v>8924</v>
      </c>
      <c r="G3721">
        <v>5</v>
      </c>
      <c r="H3721" t="s">
        <v>2789</v>
      </c>
      <c r="I3721" t="s">
        <v>108</v>
      </c>
      <c r="J3721" t="s">
        <v>413</v>
      </c>
      <c r="K3721" t="s">
        <v>56</v>
      </c>
      <c r="L3721" t="s">
        <v>4515</v>
      </c>
      <c r="M3721" s="3" t="str">
        <f>HYPERLINK("..\..\Imagery\ScannedPhotos\1991\VN91-146.5.jpg")</f>
        <v>..\..\Imagery\ScannedPhotos\1991\VN91-146.5.jpg</v>
      </c>
    </row>
    <row r="3722" spans="1:13" x14ac:dyDescent="0.25">
      <c r="A3722" t="s">
        <v>8923</v>
      </c>
      <c r="B3722">
        <v>482542</v>
      </c>
      <c r="C3722">
        <v>5833098</v>
      </c>
      <c r="D3722">
        <v>21</v>
      </c>
      <c r="E3722" t="s">
        <v>15</v>
      </c>
      <c r="F3722" t="s">
        <v>8925</v>
      </c>
      <c r="G3722">
        <v>5</v>
      </c>
      <c r="H3722" t="s">
        <v>2789</v>
      </c>
      <c r="I3722" t="s">
        <v>114</v>
      </c>
      <c r="J3722" t="s">
        <v>413</v>
      </c>
      <c r="K3722" t="s">
        <v>20</v>
      </c>
      <c r="L3722" t="s">
        <v>8926</v>
      </c>
      <c r="M3722" s="3" t="str">
        <f>HYPERLINK("..\..\Imagery\ScannedPhotos\1991\VN91-146.2.jpg")</f>
        <v>..\..\Imagery\ScannedPhotos\1991\VN91-146.2.jpg</v>
      </c>
    </row>
    <row r="3723" spans="1:13" x14ac:dyDescent="0.25">
      <c r="A3723" t="s">
        <v>8923</v>
      </c>
      <c r="B3723">
        <v>482542</v>
      </c>
      <c r="C3723">
        <v>5833098</v>
      </c>
      <c r="D3723">
        <v>21</v>
      </c>
      <c r="E3723" t="s">
        <v>15</v>
      </c>
      <c r="F3723" t="s">
        <v>8927</v>
      </c>
      <c r="G3723">
        <v>5</v>
      </c>
      <c r="H3723" t="s">
        <v>2789</v>
      </c>
      <c r="I3723" t="s">
        <v>30</v>
      </c>
      <c r="J3723" t="s">
        <v>413</v>
      </c>
      <c r="K3723" t="s">
        <v>56</v>
      </c>
      <c r="L3723" t="s">
        <v>8928</v>
      </c>
      <c r="M3723" s="3" t="str">
        <f>HYPERLINK("..\..\Imagery\ScannedPhotos\1991\VN91-146.1.jpg")</f>
        <v>..\..\Imagery\ScannedPhotos\1991\VN91-146.1.jpg</v>
      </c>
    </row>
    <row r="3724" spans="1:13" x14ac:dyDescent="0.25">
      <c r="A3724" t="s">
        <v>8923</v>
      </c>
      <c r="B3724">
        <v>482542</v>
      </c>
      <c r="C3724">
        <v>5833098</v>
      </c>
      <c r="D3724">
        <v>21</v>
      </c>
      <c r="E3724" t="s">
        <v>15</v>
      </c>
      <c r="F3724" t="s">
        <v>8929</v>
      </c>
      <c r="G3724">
        <v>5</v>
      </c>
      <c r="H3724" t="s">
        <v>2789</v>
      </c>
      <c r="I3724" t="s">
        <v>122</v>
      </c>
      <c r="J3724" t="s">
        <v>413</v>
      </c>
      <c r="K3724" t="s">
        <v>56</v>
      </c>
      <c r="L3724" t="s">
        <v>8930</v>
      </c>
      <c r="M3724" s="3" t="str">
        <f>HYPERLINK("..\..\Imagery\ScannedPhotos\1991\VN91-146.4.jpg")</f>
        <v>..\..\Imagery\ScannedPhotos\1991\VN91-146.4.jpg</v>
      </c>
    </row>
    <row r="3725" spans="1:13" x14ac:dyDescent="0.25">
      <c r="A3725" t="s">
        <v>8923</v>
      </c>
      <c r="B3725">
        <v>482542</v>
      </c>
      <c r="C3725">
        <v>5833098</v>
      </c>
      <c r="D3725">
        <v>21</v>
      </c>
      <c r="E3725" t="s">
        <v>15</v>
      </c>
      <c r="F3725" t="s">
        <v>8931</v>
      </c>
      <c r="G3725">
        <v>5</v>
      </c>
      <c r="H3725" t="s">
        <v>2789</v>
      </c>
      <c r="I3725" t="s">
        <v>119</v>
      </c>
      <c r="J3725" t="s">
        <v>413</v>
      </c>
      <c r="K3725" t="s">
        <v>20</v>
      </c>
      <c r="L3725" t="s">
        <v>8932</v>
      </c>
      <c r="M3725" s="3" t="str">
        <f>HYPERLINK("..\..\Imagery\ScannedPhotos\1991\VN91-146.3.jpg")</f>
        <v>..\..\Imagery\ScannedPhotos\1991\VN91-146.3.jpg</v>
      </c>
    </row>
    <row r="3726" spans="1:13" x14ac:dyDescent="0.25">
      <c r="A3726" t="s">
        <v>5034</v>
      </c>
      <c r="B3726">
        <v>482836</v>
      </c>
      <c r="C3726">
        <v>5832145</v>
      </c>
      <c r="D3726">
        <v>21</v>
      </c>
      <c r="E3726" t="s">
        <v>15</v>
      </c>
      <c r="F3726" t="s">
        <v>8933</v>
      </c>
      <c r="G3726">
        <v>2</v>
      </c>
      <c r="H3726" t="s">
        <v>2789</v>
      </c>
      <c r="I3726" t="s">
        <v>132</v>
      </c>
      <c r="J3726" t="s">
        <v>413</v>
      </c>
      <c r="K3726" t="s">
        <v>56</v>
      </c>
      <c r="L3726" t="s">
        <v>5036</v>
      </c>
      <c r="M3726" s="3" t="str">
        <f>HYPERLINK("..\..\Imagery\ScannedPhotos\1991\VN91-148.1.jpg")</f>
        <v>..\..\Imagery\ScannedPhotos\1991\VN91-148.1.jpg</v>
      </c>
    </row>
    <row r="3727" spans="1:13" x14ac:dyDescent="0.25">
      <c r="A3727" t="s">
        <v>8934</v>
      </c>
      <c r="B3727">
        <v>378292</v>
      </c>
      <c r="C3727">
        <v>6080739</v>
      </c>
      <c r="D3727">
        <v>21</v>
      </c>
      <c r="E3727" t="s">
        <v>15</v>
      </c>
      <c r="F3727" t="s">
        <v>8935</v>
      </c>
      <c r="G3727">
        <v>3</v>
      </c>
      <c r="H3727" t="s">
        <v>2011</v>
      </c>
      <c r="I3727" t="s">
        <v>74</v>
      </c>
      <c r="J3727" t="s">
        <v>1624</v>
      </c>
      <c r="K3727" t="s">
        <v>20</v>
      </c>
      <c r="L3727" t="s">
        <v>8936</v>
      </c>
      <c r="M3727" s="3" t="str">
        <f>HYPERLINK("..\..\Imagery\ScannedPhotos\1978\AL78-136.1.jpg")</f>
        <v>..\..\Imagery\ScannedPhotos\1978\AL78-136.1.jpg</v>
      </c>
    </row>
    <row r="3728" spans="1:13" x14ac:dyDescent="0.25">
      <c r="A3728" t="s">
        <v>620</v>
      </c>
      <c r="B3728">
        <v>377488</v>
      </c>
      <c r="C3728">
        <v>5977094</v>
      </c>
      <c r="D3728">
        <v>21</v>
      </c>
      <c r="E3728" t="s">
        <v>15</v>
      </c>
      <c r="F3728" t="s">
        <v>8937</v>
      </c>
      <c r="G3728">
        <v>3</v>
      </c>
      <c r="H3728" t="s">
        <v>622</v>
      </c>
      <c r="I3728" t="s">
        <v>94</v>
      </c>
      <c r="J3728" t="s">
        <v>623</v>
      </c>
      <c r="K3728" t="s">
        <v>228</v>
      </c>
      <c r="L3728" t="s">
        <v>624</v>
      </c>
      <c r="M3728" s="3" t="str">
        <f>HYPERLINK("..\..\Imagery\ScannedPhotos\1980\NN80-156.2.jpg")</f>
        <v>..\..\Imagery\ScannedPhotos\1980\NN80-156.2.jpg</v>
      </c>
    </row>
    <row r="3729" spans="1:13" x14ac:dyDescent="0.25">
      <c r="A3729" t="s">
        <v>8938</v>
      </c>
      <c r="B3729">
        <v>574427</v>
      </c>
      <c r="C3729">
        <v>5883966</v>
      </c>
      <c r="D3729">
        <v>21</v>
      </c>
      <c r="E3729" t="s">
        <v>15</v>
      </c>
      <c r="F3729" t="s">
        <v>8939</v>
      </c>
      <c r="G3729">
        <v>1</v>
      </c>
      <c r="H3729" t="s">
        <v>8266</v>
      </c>
      <c r="I3729" t="s">
        <v>85</v>
      </c>
      <c r="J3729" t="s">
        <v>1583</v>
      </c>
      <c r="K3729" t="s">
        <v>20</v>
      </c>
      <c r="L3729" t="s">
        <v>8940</v>
      </c>
      <c r="M3729" s="3" t="str">
        <f>HYPERLINK("..\..\Imagery\ScannedPhotos\1985\LC85-026.jpg")</f>
        <v>..\..\Imagery\ScannedPhotos\1985\LC85-026.jpg</v>
      </c>
    </row>
    <row r="3730" spans="1:13" x14ac:dyDescent="0.25">
      <c r="A3730" t="s">
        <v>8941</v>
      </c>
      <c r="B3730">
        <v>400630</v>
      </c>
      <c r="C3730">
        <v>5994998</v>
      </c>
      <c r="D3730">
        <v>21</v>
      </c>
      <c r="E3730" t="s">
        <v>15</v>
      </c>
      <c r="F3730" t="s">
        <v>8942</v>
      </c>
      <c r="G3730">
        <v>1</v>
      </c>
      <c r="H3730" t="s">
        <v>1593</v>
      </c>
      <c r="I3730" t="s">
        <v>79</v>
      </c>
      <c r="J3730" t="s">
        <v>1594</v>
      </c>
      <c r="K3730" t="s">
        <v>20</v>
      </c>
      <c r="L3730" t="s">
        <v>8943</v>
      </c>
      <c r="M3730" s="3" t="str">
        <f>HYPERLINK("..\..\Imagery\ScannedPhotos\1980\LG80-002.jpg")</f>
        <v>..\..\Imagery\ScannedPhotos\1980\LG80-002.jpg</v>
      </c>
    </row>
    <row r="3731" spans="1:13" x14ac:dyDescent="0.25">
      <c r="A3731" t="s">
        <v>8944</v>
      </c>
      <c r="B3731">
        <v>398404</v>
      </c>
      <c r="C3731">
        <v>5993442</v>
      </c>
      <c r="D3731">
        <v>21</v>
      </c>
      <c r="E3731" t="s">
        <v>15</v>
      </c>
      <c r="F3731" t="s">
        <v>8945</v>
      </c>
      <c r="G3731">
        <v>1</v>
      </c>
      <c r="H3731" t="s">
        <v>1593</v>
      </c>
      <c r="I3731" t="s">
        <v>281</v>
      </c>
      <c r="J3731" t="s">
        <v>1594</v>
      </c>
      <c r="K3731" t="s">
        <v>20</v>
      </c>
      <c r="L3731" t="s">
        <v>8946</v>
      </c>
      <c r="M3731" s="3" t="str">
        <f>HYPERLINK("..\..\Imagery\ScannedPhotos\1980\LG80-007.jpg")</f>
        <v>..\..\Imagery\ScannedPhotos\1980\LG80-007.jpg</v>
      </c>
    </row>
    <row r="3732" spans="1:13" x14ac:dyDescent="0.25">
      <c r="A3732" t="s">
        <v>8947</v>
      </c>
      <c r="B3732">
        <v>489009</v>
      </c>
      <c r="C3732">
        <v>5934618</v>
      </c>
      <c r="D3732">
        <v>21</v>
      </c>
      <c r="E3732" t="s">
        <v>15</v>
      </c>
      <c r="F3732" t="s">
        <v>8948</v>
      </c>
      <c r="G3732">
        <v>2</v>
      </c>
      <c r="H3732" t="s">
        <v>142</v>
      </c>
      <c r="I3732" t="s">
        <v>74</v>
      </c>
      <c r="J3732" t="s">
        <v>144</v>
      </c>
      <c r="K3732" t="s">
        <v>20</v>
      </c>
      <c r="L3732" t="s">
        <v>8949</v>
      </c>
      <c r="M3732" s="3" t="str">
        <f>HYPERLINK("..\..\Imagery\ScannedPhotos\1977\MC77-009.1.jpg")</f>
        <v>..\..\Imagery\ScannedPhotos\1977\MC77-009.1.jpg</v>
      </c>
    </row>
    <row r="3733" spans="1:13" x14ac:dyDescent="0.25">
      <c r="A3733" t="s">
        <v>8947</v>
      </c>
      <c r="B3733">
        <v>489009</v>
      </c>
      <c r="C3733">
        <v>5934618</v>
      </c>
      <c r="D3733">
        <v>21</v>
      </c>
      <c r="E3733" t="s">
        <v>15</v>
      </c>
      <c r="F3733" t="s">
        <v>8950</v>
      </c>
      <c r="G3733">
        <v>2</v>
      </c>
      <c r="H3733" t="s">
        <v>142</v>
      </c>
      <c r="I3733" t="s">
        <v>41</v>
      </c>
      <c r="J3733" t="s">
        <v>144</v>
      </c>
      <c r="K3733" t="s">
        <v>20</v>
      </c>
      <c r="L3733" t="s">
        <v>8951</v>
      </c>
      <c r="M3733" s="3" t="str">
        <f>HYPERLINK("..\..\Imagery\ScannedPhotos\1977\MC77-009.2.jpg")</f>
        <v>..\..\Imagery\ScannedPhotos\1977\MC77-009.2.jpg</v>
      </c>
    </row>
    <row r="3734" spans="1:13" x14ac:dyDescent="0.25">
      <c r="A3734" t="s">
        <v>1782</v>
      </c>
      <c r="B3734">
        <v>502202</v>
      </c>
      <c r="C3734">
        <v>5708294</v>
      </c>
      <c r="D3734">
        <v>21</v>
      </c>
      <c r="E3734" t="s">
        <v>15</v>
      </c>
      <c r="F3734" t="s">
        <v>8952</v>
      </c>
      <c r="G3734">
        <v>3</v>
      </c>
      <c r="H3734" t="s">
        <v>1784</v>
      </c>
      <c r="I3734" t="s">
        <v>108</v>
      </c>
      <c r="J3734" t="s">
        <v>1738</v>
      </c>
      <c r="K3734" t="s">
        <v>20</v>
      </c>
      <c r="L3734" t="s">
        <v>1787</v>
      </c>
      <c r="M3734" s="3" t="str">
        <f>HYPERLINK("..\..\Imagery\ScannedPhotos\1993\VN93-311.1.jpg")</f>
        <v>..\..\Imagery\ScannedPhotos\1993\VN93-311.1.jpg</v>
      </c>
    </row>
    <row r="3735" spans="1:13" x14ac:dyDescent="0.25">
      <c r="A3735" t="s">
        <v>3977</v>
      </c>
      <c r="B3735">
        <v>472783</v>
      </c>
      <c r="C3735">
        <v>5921952</v>
      </c>
      <c r="D3735">
        <v>21</v>
      </c>
      <c r="E3735" t="s">
        <v>15</v>
      </c>
      <c r="F3735" t="s">
        <v>8953</v>
      </c>
      <c r="G3735">
        <v>2</v>
      </c>
      <c r="H3735" t="s">
        <v>1964</v>
      </c>
      <c r="I3735" t="s">
        <v>304</v>
      </c>
      <c r="J3735" t="s">
        <v>1965</v>
      </c>
      <c r="K3735" t="s">
        <v>20</v>
      </c>
      <c r="L3735" t="s">
        <v>3743</v>
      </c>
      <c r="M3735" s="3" t="str">
        <f>HYPERLINK("..\..\Imagery\ScannedPhotos\1977\MC77-217.1.jpg")</f>
        <v>..\..\Imagery\ScannedPhotos\1977\MC77-217.1.jpg</v>
      </c>
    </row>
    <row r="3736" spans="1:13" x14ac:dyDescent="0.25">
      <c r="A3736" t="s">
        <v>8954</v>
      </c>
      <c r="B3736">
        <v>491630</v>
      </c>
      <c r="C3736">
        <v>5915549</v>
      </c>
      <c r="D3736">
        <v>21</v>
      </c>
      <c r="E3736" t="s">
        <v>15</v>
      </c>
      <c r="F3736" t="s">
        <v>8955</v>
      </c>
      <c r="G3736">
        <v>1</v>
      </c>
      <c r="H3736" t="s">
        <v>1964</v>
      </c>
      <c r="I3736" t="s">
        <v>25</v>
      </c>
      <c r="J3736" t="s">
        <v>1965</v>
      </c>
      <c r="K3736" t="s">
        <v>20</v>
      </c>
      <c r="L3736" t="s">
        <v>8956</v>
      </c>
      <c r="M3736" s="3" t="str">
        <f>HYPERLINK("..\..\Imagery\ScannedPhotos\1977\MC77-222.jpg")</f>
        <v>..\..\Imagery\ScannedPhotos\1977\MC77-222.jpg</v>
      </c>
    </row>
    <row r="3737" spans="1:13" x14ac:dyDescent="0.25">
      <c r="A3737" t="s">
        <v>8957</v>
      </c>
      <c r="B3737">
        <v>488467</v>
      </c>
      <c r="C3737">
        <v>5952126</v>
      </c>
      <c r="D3737">
        <v>21</v>
      </c>
      <c r="E3737" t="s">
        <v>15</v>
      </c>
      <c r="F3737" t="s">
        <v>8958</v>
      </c>
      <c r="G3737">
        <v>3</v>
      </c>
      <c r="H3737" t="s">
        <v>1964</v>
      </c>
      <c r="I3737" t="s">
        <v>360</v>
      </c>
      <c r="J3737" t="s">
        <v>1965</v>
      </c>
      <c r="K3737" t="s">
        <v>20</v>
      </c>
      <c r="L3737" t="s">
        <v>8959</v>
      </c>
      <c r="M3737" s="3" t="str">
        <f>HYPERLINK("..\..\Imagery\ScannedPhotos\1977\MC77-232.1.jpg")</f>
        <v>..\..\Imagery\ScannedPhotos\1977\MC77-232.1.jpg</v>
      </c>
    </row>
    <row r="3738" spans="1:13" x14ac:dyDescent="0.25">
      <c r="A3738" t="s">
        <v>8960</v>
      </c>
      <c r="B3738">
        <v>384712</v>
      </c>
      <c r="C3738">
        <v>5968214</v>
      </c>
      <c r="D3738">
        <v>21</v>
      </c>
      <c r="E3738" t="s">
        <v>15</v>
      </c>
      <c r="F3738" t="s">
        <v>8961</v>
      </c>
      <c r="G3738">
        <v>1</v>
      </c>
      <c r="H3738" t="s">
        <v>5650</v>
      </c>
      <c r="I3738" t="s">
        <v>69</v>
      </c>
      <c r="J3738" t="s">
        <v>5651</v>
      </c>
      <c r="K3738" t="s">
        <v>56</v>
      </c>
      <c r="L3738" t="s">
        <v>8962</v>
      </c>
      <c r="M3738" s="3" t="str">
        <f>HYPERLINK("..\..\Imagery\ScannedPhotos\1984\CG84-496.jpg")</f>
        <v>..\..\Imagery\ScannedPhotos\1984\CG84-496.jpg</v>
      </c>
    </row>
    <row r="3739" spans="1:13" x14ac:dyDescent="0.25">
      <c r="A3739" t="s">
        <v>8963</v>
      </c>
      <c r="B3739">
        <v>506610</v>
      </c>
      <c r="C3739">
        <v>5923650</v>
      </c>
      <c r="D3739">
        <v>21</v>
      </c>
      <c r="E3739" t="s">
        <v>15</v>
      </c>
      <c r="F3739" t="s">
        <v>8964</v>
      </c>
      <c r="G3739">
        <v>2</v>
      </c>
      <c r="H3739" t="s">
        <v>2284</v>
      </c>
      <c r="I3739" t="s">
        <v>18</v>
      </c>
      <c r="J3739" t="s">
        <v>3136</v>
      </c>
      <c r="K3739" t="s">
        <v>935</v>
      </c>
      <c r="L3739" t="s">
        <v>8965</v>
      </c>
      <c r="M3739" s="3" t="str">
        <f>HYPERLINK("..\..\Imagery\ScannedPhotos\1985\CG85-001.2.jpg")</f>
        <v>..\..\Imagery\ScannedPhotos\1985\CG85-001.2.jpg</v>
      </c>
    </row>
    <row r="3740" spans="1:13" x14ac:dyDescent="0.25">
      <c r="A3740" t="s">
        <v>8963</v>
      </c>
      <c r="B3740">
        <v>506610</v>
      </c>
      <c r="C3740">
        <v>5923650</v>
      </c>
      <c r="D3740">
        <v>21</v>
      </c>
      <c r="E3740" t="s">
        <v>15</v>
      </c>
      <c r="F3740" t="s">
        <v>8966</v>
      </c>
      <c r="G3740">
        <v>2</v>
      </c>
      <c r="H3740" t="s">
        <v>2284</v>
      </c>
      <c r="I3740" t="s">
        <v>281</v>
      </c>
      <c r="J3740" t="s">
        <v>3136</v>
      </c>
      <c r="K3740" t="s">
        <v>20</v>
      </c>
      <c r="L3740" t="s">
        <v>8967</v>
      </c>
      <c r="M3740" s="3" t="str">
        <f>HYPERLINK("..\..\Imagery\ScannedPhotos\1985\CG85-001.1.jpg")</f>
        <v>..\..\Imagery\ScannedPhotos\1985\CG85-001.1.jpg</v>
      </c>
    </row>
    <row r="3741" spans="1:13" x14ac:dyDescent="0.25">
      <c r="A3741" t="s">
        <v>8968</v>
      </c>
      <c r="B3741">
        <v>516919</v>
      </c>
      <c r="C3741">
        <v>5926151</v>
      </c>
      <c r="D3741">
        <v>21</v>
      </c>
      <c r="E3741" t="s">
        <v>15</v>
      </c>
      <c r="F3741" t="s">
        <v>8969</v>
      </c>
      <c r="G3741">
        <v>2</v>
      </c>
      <c r="H3741" t="s">
        <v>2284</v>
      </c>
      <c r="I3741" t="s">
        <v>69</v>
      </c>
      <c r="J3741" t="s">
        <v>3136</v>
      </c>
      <c r="K3741" t="s">
        <v>535</v>
      </c>
      <c r="L3741" t="s">
        <v>8970</v>
      </c>
      <c r="M3741" s="3" t="str">
        <f>HYPERLINK("..\..\Imagery\ScannedPhotos\1985\CG85-004.1.jpg")</f>
        <v>..\..\Imagery\ScannedPhotos\1985\CG85-004.1.jpg</v>
      </c>
    </row>
    <row r="3742" spans="1:13" x14ac:dyDescent="0.25">
      <c r="A3742" t="s">
        <v>8968</v>
      </c>
      <c r="B3742">
        <v>516919</v>
      </c>
      <c r="C3742">
        <v>5926151</v>
      </c>
      <c r="D3742">
        <v>21</v>
      </c>
      <c r="E3742" t="s">
        <v>15</v>
      </c>
      <c r="F3742" t="s">
        <v>8971</v>
      </c>
      <c r="G3742">
        <v>2</v>
      </c>
      <c r="H3742" t="s">
        <v>2284</v>
      </c>
      <c r="I3742" t="s">
        <v>41</v>
      </c>
      <c r="J3742" t="s">
        <v>3136</v>
      </c>
      <c r="K3742" t="s">
        <v>20</v>
      </c>
      <c r="L3742" t="s">
        <v>8972</v>
      </c>
      <c r="M3742" s="3" t="str">
        <f>HYPERLINK("..\..\Imagery\ScannedPhotos\1985\CG85-004.2.jpg")</f>
        <v>..\..\Imagery\ScannedPhotos\1985\CG85-004.2.jpg</v>
      </c>
    </row>
    <row r="3743" spans="1:13" x14ac:dyDescent="0.25">
      <c r="A3743" t="s">
        <v>8973</v>
      </c>
      <c r="B3743">
        <v>507032</v>
      </c>
      <c r="C3743">
        <v>5899032</v>
      </c>
      <c r="D3743">
        <v>21</v>
      </c>
      <c r="E3743" t="s">
        <v>15</v>
      </c>
      <c r="F3743" t="s">
        <v>8974</v>
      </c>
      <c r="G3743">
        <v>3</v>
      </c>
      <c r="H3743" t="s">
        <v>2284</v>
      </c>
      <c r="I3743" t="s">
        <v>126</v>
      </c>
      <c r="J3743" t="s">
        <v>3136</v>
      </c>
      <c r="K3743" t="s">
        <v>228</v>
      </c>
      <c r="L3743" t="s">
        <v>8975</v>
      </c>
      <c r="M3743" s="3" t="str">
        <f>HYPERLINK("..\..\Imagery\ScannedPhotos\1985\CG85-121.3.jpg")</f>
        <v>..\..\Imagery\ScannedPhotos\1985\CG85-121.3.jpg</v>
      </c>
    </row>
    <row r="3744" spans="1:13" x14ac:dyDescent="0.25">
      <c r="A3744" t="s">
        <v>8973</v>
      </c>
      <c r="B3744">
        <v>507032</v>
      </c>
      <c r="C3744">
        <v>5899032</v>
      </c>
      <c r="D3744">
        <v>21</v>
      </c>
      <c r="E3744" t="s">
        <v>15</v>
      </c>
      <c r="F3744" t="s">
        <v>8976</v>
      </c>
      <c r="G3744">
        <v>3</v>
      </c>
      <c r="H3744" t="s">
        <v>2284</v>
      </c>
      <c r="I3744" t="s">
        <v>119</v>
      </c>
      <c r="J3744" t="s">
        <v>3136</v>
      </c>
      <c r="K3744" t="s">
        <v>228</v>
      </c>
      <c r="L3744" t="s">
        <v>8977</v>
      </c>
      <c r="M3744" s="3" t="str">
        <f>HYPERLINK("..\..\Imagery\ScannedPhotos\1985\CG85-121.1.jpg")</f>
        <v>..\..\Imagery\ScannedPhotos\1985\CG85-121.1.jpg</v>
      </c>
    </row>
    <row r="3745" spans="1:13" x14ac:dyDescent="0.25">
      <c r="A3745" t="s">
        <v>8978</v>
      </c>
      <c r="B3745">
        <v>509807</v>
      </c>
      <c r="C3745">
        <v>5905138</v>
      </c>
      <c r="D3745">
        <v>21</v>
      </c>
      <c r="E3745" t="s">
        <v>15</v>
      </c>
      <c r="F3745" t="s">
        <v>8979</v>
      </c>
      <c r="G3745">
        <v>2</v>
      </c>
      <c r="H3745" t="s">
        <v>2284</v>
      </c>
      <c r="I3745" t="s">
        <v>132</v>
      </c>
      <c r="J3745" t="s">
        <v>3136</v>
      </c>
      <c r="K3745" t="s">
        <v>20</v>
      </c>
      <c r="L3745" t="s">
        <v>6896</v>
      </c>
      <c r="M3745" s="3" t="str">
        <f>HYPERLINK("..\..\Imagery\ScannedPhotos\1985\CG85-129.2.jpg")</f>
        <v>..\..\Imagery\ScannedPhotos\1985\CG85-129.2.jpg</v>
      </c>
    </row>
    <row r="3746" spans="1:13" x14ac:dyDescent="0.25">
      <c r="A3746" t="s">
        <v>8978</v>
      </c>
      <c r="B3746">
        <v>509807</v>
      </c>
      <c r="C3746">
        <v>5905138</v>
      </c>
      <c r="D3746">
        <v>21</v>
      </c>
      <c r="E3746" t="s">
        <v>15</v>
      </c>
      <c r="F3746" t="s">
        <v>8980</v>
      </c>
      <c r="G3746">
        <v>2</v>
      </c>
      <c r="H3746" t="s">
        <v>2284</v>
      </c>
      <c r="I3746" t="s">
        <v>108</v>
      </c>
      <c r="J3746" t="s">
        <v>3136</v>
      </c>
      <c r="K3746" t="s">
        <v>20</v>
      </c>
      <c r="L3746" t="s">
        <v>6896</v>
      </c>
      <c r="M3746" s="3" t="str">
        <f>HYPERLINK("..\..\Imagery\ScannedPhotos\1985\CG85-129.1.jpg")</f>
        <v>..\..\Imagery\ScannedPhotos\1985\CG85-129.1.jpg</v>
      </c>
    </row>
    <row r="3747" spans="1:13" x14ac:dyDescent="0.25">
      <c r="A3747" t="s">
        <v>8644</v>
      </c>
      <c r="B3747">
        <v>517961</v>
      </c>
      <c r="C3747">
        <v>5892651</v>
      </c>
      <c r="D3747">
        <v>21</v>
      </c>
      <c r="E3747" t="s">
        <v>15</v>
      </c>
      <c r="F3747" t="s">
        <v>8981</v>
      </c>
      <c r="G3747">
        <v>3</v>
      </c>
      <c r="H3747" t="s">
        <v>2284</v>
      </c>
      <c r="I3747" t="s">
        <v>47</v>
      </c>
      <c r="J3747" t="s">
        <v>3136</v>
      </c>
      <c r="K3747" t="s">
        <v>56</v>
      </c>
      <c r="L3747" t="s">
        <v>8982</v>
      </c>
      <c r="M3747" s="3" t="str">
        <f>HYPERLINK("..\..\Imagery\ScannedPhotos\1985\CG85-132.2.jpg")</f>
        <v>..\..\Imagery\ScannedPhotos\1985\CG85-132.2.jpg</v>
      </c>
    </row>
    <row r="3748" spans="1:13" x14ac:dyDescent="0.25">
      <c r="A3748" t="s">
        <v>8644</v>
      </c>
      <c r="B3748">
        <v>517961</v>
      </c>
      <c r="C3748">
        <v>5892651</v>
      </c>
      <c r="D3748">
        <v>21</v>
      </c>
      <c r="E3748" t="s">
        <v>15</v>
      </c>
      <c r="F3748" t="s">
        <v>8983</v>
      </c>
      <c r="G3748">
        <v>3</v>
      </c>
      <c r="H3748" t="s">
        <v>2284</v>
      </c>
      <c r="I3748" t="s">
        <v>52</v>
      </c>
      <c r="J3748" t="s">
        <v>3136</v>
      </c>
      <c r="K3748" t="s">
        <v>56</v>
      </c>
      <c r="L3748" t="s">
        <v>8982</v>
      </c>
      <c r="M3748" s="3" t="str">
        <f>HYPERLINK("..\..\Imagery\ScannedPhotos\1985\CG85-132.3.jpg")</f>
        <v>..\..\Imagery\ScannedPhotos\1985\CG85-132.3.jpg</v>
      </c>
    </row>
    <row r="3749" spans="1:13" x14ac:dyDescent="0.25">
      <c r="A3749" t="s">
        <v>8984</v>
      </c>
      <c r="B3749">
        <v>581009</v>
      </c>
      <c r="C3749">
        <v>5876669</v>
      </c>
      <c r="D3749">
        <v>21</v>
      </c>
      <c r="E3749" t="s">
        <v>15</v>
      </c>
      <c r="F3749" t="s">
        <v>8985</v>
      </c>
      <c r="G3749">
        <v>1</v>
      </c>
      <c r="H3749" t="s">
        <v>1013</v>
      </c>
      <c r="I3749" t="s">
        <v>122</v>
      </c>
      <c r="J3749" t="s">
        <v>1014</v>
      </c>
      <c r="K3749" t="s">
        <v>20</v>
      </c>
      <c r="L3749" t="s">
        <v>8660</v>
      </c>
      <c r="M3749" s="3" t="str">
        <f>HYPERLINK("..\..\Imagery\ScannedPhotos\1985\CG85-469.jpg")</f>
        <v>..\..\Imagery\ScannedPhotos\1985\CG85-469.jpg</v>
      </c>
    </row>
    <row r="3750" spans="1:13" x14ac:dyDescent="0.25">
      <c r="A3750" t="s">
        <v>8038</v>
      </c>
      <c r="B3750">
        <v>405358</v>
      </c>
      <c r="C3750">
        <v>6010188</v>
      </c>
      <c r="D3750">
        <v>21</v>
      </c>
      <c r="E3750" t="s">
        <v>15</v>
      </c>
      <c r="F3750" t="s">
        <v>8986</v>
      </c>
      <c r="G3750">
        <v>3</v>
      </c>
      <c r="H3750" t="s">
        <v>2319</v>
      </c>
      <c r="I3750" t="s">
        <v>401</v>
      </c>
      <c r="J3750" t="s">
        <v>759</v>
      </c>
      <c r="K3750" t="s">
        <v>20</v>
      </c>
      <c r="L3750" t="s">
        <v>8987</v>
      </c>
      <c r="M3750" s="3" t="str">
        <f>HYPERLINK("..\..\Imagery\ScannedPhotos\1980\CG80-037.3.jpg")</f>
        <v>..\..\Imagery\ScannedPhotos\1980\CG80-037.3.jpg</v>
      </c>
    </row>
    <row r="3751" spans="1:13" x14ac:dyDescent="0.25">
      <c r="A3751" t="s">
        <v>8038</v>
      </c>
      <c r="B3751">
        <v>405358</v>
      </c>
      <c r="C3751">
        <v>6010188</v>
      </c>
      <c r="D3751">
        <v>21</v>
      </c>
      <c r="E3751" t="s">
        <v>15</v>
      </c>
      <c r="F3751" t="s">
        <v>8988</v>
      </c>
      <c r="G3751">
        <v>3</v>
      </c>
      <c r="H3751" t="s">
        <v>1006</v>
      </c>
      <c r="I3751" t="s">
        <v>281</v>
      </c>
      <c r="J3751" t="s">
        <v>652</v>
      </c>
      <c r="K3751" t="s">
        <v>20</v>
      </c>
      <c r="L3751" t="s">
        <v>8989</v>
      </c>
      <c r="M3751" s="3" t="str">
        <f>HYPERLINK("..\..\Imagery\ScannedPhotos\1980\CG80-037.1.jpg")</f>
        <v>..\..\Imagery\ScannedPhotos\1980\CG80-037.1.jpg</v>
      </c>
    </row>
    <row r="3752" spans="1:13" x14ac:dyDescent="0.25">
      <c r="A3752" t="s">
        <v>8990</v>
      </c>
      <c r="B3752">
        <v>566929</v>
      </c>
      <c r="C3752">
        <v>5749594</v>
      </c>
      <c r="D3752">
        <v>21</v>
      </c>
      <c r="E3752" t="s">
        <v>15</v>
      </c>
      <c r="F3752" t="s">
        <v>8991</v>
      </c>
      <c r="G3752">
        <v>1</v>
      </c>
      <c r="H3752" t="s">
        <v>1513</v>
      </c>
      <c r="I3752" t="s">
        <v>147</v>
      </c>
      <c r="J3752" t="s">
        <v>1514</v>
      </c>
      <c r="K3752" t="s">
        <v>20</v>
      </c>
      <c r="L3752" t="s">
        <v>8992</v>
      </c>
      <c r="M3752" s="3" t="str">
        <f>HYPERLINK("..\..\Imagery\ScannedPhotos\1993\CG93-457.jpg")</f>
        <v>..\..\Imagery\ScannedPhotos\1993\CG93-457.jpg</v>
      </c>
    </row>
    <row r="3753" spans="1:13" x14ac:dyDescent="0.25">
      <c r="A3753" t="s">
        <v>8993</v>
      </c>
      <c r="B3753">
        <v>567475</v>
      </c>
      <c r="C3753">
        <v>5750065</v>
      </c>
      <c r="D3753">
        <v>21</v>
      </c>
      <c r="E3753" t="s">
        <v>15</v>
      </c>
      <c r="F3753" t="s">
        <v>8994</v>
      </c>
      <c r="G3753">
        <v>1</v>
      </c>
      <c r="H3753" t="s">
        <v>1513</v>
      </c>
      <c r="I3753" t="s">
        <v>47</v>
      </c>
      <c r="J3753" t="s">
        <v>1514</v>
      </c>
      <c r="K3753" t="s">
        <v>56</v>
      </c>
      <c r="L3753" t="s">
        <v>8995</v>
      </c>
      <c r="M3753" s="3" t="str">
        <f>HYPERLINK("..\..\Imagery\ScannedPhotos\1993\CG93-458.jpg")</f>
        <v>..\..\Imagery\ScannedPhotos\1993\CG93-458.jpg</v>
      </c>
    </row>
    <row r="3754" spans="1:13" x14ac:dyDescent="0.25">
      <c r="A3754" t="s">
        <v>3146</v>
      </c>
      <c r="B3754">
        <v>499717</v>
      </c>
      <c r="C3754">
        <v>5791130</v>
      </c>
      <c r="D3754">
        <v>21</v>
      </c>
      <c r="E3754" t="s">
        <v>15</v>
      </c>
      <c r="F3754" t="s">
        <v>8996</v>
      </c>
      <c r="G3754">
        <v>6</v>
      </c>
      <c r="H3754" t="s">
        <v>1095</v>
      </c>
      <c r="I3754" t="s">
        <v>25</v>
      </c>
      <c r="J3754" t="s">
        <v>1096</v>
      </c>
      <c r="K3754" t="s">
        <v>20</v>
      </c>
      <c r="L3754" t="s">
        <v>8997</v>
      </c>
      <c r="M3754" s="3" t="str">
        <f>HYPERLINK("..\..\Imagery\ScannedPhotos\1992\VN92-070.3.jpg")</f>
        <v>..\..\Imagery\ScannedPhotos\1992\VN92-070.3.jpg</v>
      </c>
    </row>
    <row r="3755" spans="1:13" x14ac:dyDescent="0.25">
      <c r="A3755" t="s">
        <v>5436</v>
      </c>
      <c r="B3755">
        <v>527239</v>
      </c>
      <c r="C3755">
        <v>5947504</v>
      </c>
      <c r="D3755">
        <v>21</v>
      </c>
      <c r="E3755" t="s">
        <v>15</v>
      </c>
      <c r="F3755" t="s">
        <v>8998</v>
      </c>
      <c r="G3755">
        <v>3</v>
      </c>
      <c r="H3755" t="s">
        <v>221</v>
      </c>
      <c r="I3755" t="s">
        <v>401</v>
      </c>
      <c r="J3755" t="s">
        <v>48</v>
      </c>
      <c r="K3755" t="s">
        <v>20</v>
      </c>
      <c r="L3755" t="s">
        <v>8999</v>
      </c>
      <c r="M3755" s="3" t="str">
        <f>HYPERLINK("..\..\Imagery\ScannedPhotos\1981\CG81-389.3.jpg")</f>
        <v>..\..\Imagery\ScannedPhotos\1981\CG81-389.3.jpg</v>
      </c>
    </row>
    <row r="3756" spans="1:13" x14ac:dyDescent="0.25">
      <c r="A3756" t="s">
        <v>9000</v>
      </c>
      <c r="B3756">
        <v>525937</v>
      </c>
      <c r="C3756">
        <v>5946699</v>
      </c>
      <c r="D3756">
        <v>21</v>
      </c>
      <c r="E3756" t="s">
        <v>15</v>
      </c>
      <c r="F3756" t="s">
        <v>9001</v>
      </c>
      <c r="G3756">
        <v>2</v>
      </c>
      <c r="H3756" t="s">
        <v>845</v>
      </c>
      <c r="I3756" t="s">
        <v>79</v>
      </c>
      <c r="J3756" t="s">
        <v>48</v>
      </c>
      <c r="K3756" t="s">
        <v>20</v>
      </c>
      <c r="L3756" t="s">
        <v>9002</v>
      </c>
      <c r="M3756" s="3" t="str">
        <f>HYPERLINK("..\..\Imagery\ScannedPhotos\1981\CG81-394.1.jpg")</f>
        <v>..\..\Imagery\ScannedPhotos\1981\CG81-394.1.jpg</v>
      </c>
    </row>
    <row r="3757" spans="1:13" x14ac:dyDescent="0.25">
      <c r="A3757" t="s">
        <v>9000</v>
      </c>
      <c r="B3757">
        <v>525937</v>
      </c>
      <c r="C3757">
        <v>5946699</v>
      </c>
      <c r="D3757">
        <v>21</v>
      </c>
      <c r="E3757" t="s">
        <v>15</v>
      </c>
      <c r="F3757" t="s">
        <v>9003</v>
      </c>
      <c r="G3757">
        <v>2</v>
      </c>
      <c r="H3757" t="s">
        <v>845</v>
      </c>
      <c r="I3757" t="s">
        <v>281</v>
      </c>
      <c r="J3757" t="s">
        <v>48</v>
      </c>
      <c r="K3757" t="s">
        <v>20</v>
      </c>
      <c r="L3757" t="s">
        <v>9002</v>
      </c>
      <c r="M3757" s="3" t="str">
        <f>HYPERLINK("..\..\Imagery\ScannedPhotos\1981\CG81-394.2.jpg")</f>
        <v>..\..\Imagery\ScannedPhotos\1981\CG81-394.2.jpg</v>
      </c>
    </row>
    <row r="3758" spans="1:13" x14ac:dyDescent="0.25">
      <c r="A3758" t="s">
        <v>9004</v>
      </c>
      <c r="B3758">
        <v>523796</v>
      </c>
      <c r="C3758">
        <v>5946147</v>
      </c>
      <c r="D3758">
        <v>21</v>
      </c>
      <c r="E3758" t="s">
        <v>15</v>
      </c>
      <c r="F3758" t="s">
        <v>9005</v>
      </c>
      <c r="G3758">
        <v>1</v>
      </c>
      <c r="H3758" t="s">
        <v>845</v>
      </c>
      <c r="I3758" t="s">
        <v>137</v>
      </c>
      <c r="J3758" t="s">
        <v>48</v>
      </c>
      <c r="K3758" t="s">
        <v>20</v>
      </c>
      <c r="L3758" t="s">
        <v>962</v>
      </c>
      <c r="M3758" s="3" t="str">
        <f>HYPERLINK("..\..\Imagery\ScannedPhotos\1981\CG81-420.jpg")</f>
        <v>..\..\Imagery\ScannedPhotos\1981\CG81-420.jpg</v>
      </c>
    </row>
    <row r="3759" spans="1:13" x14ac:dyDescent="0.25">
      <c r="A3759" t="s">
        <v>9006</v>
      </c>
      <c r="B3759">
        <v>524709</v>
      </c>
      <c r="C3759">
        <v>5945926</v>
      </c>
      <c r="D3759">
        <v>21</v>
      </c>
      <c r="E3759" t="s">
        <v>15</v>
      </c>
      <c r="F3759" t="s">
        <v>9007</v>
      </c>
      <c r="G3759">
        <v>1</v>
      </c>
      <c r="H3759" t="s">
        <v>3158</v>
      </c>
      <c r="I3759" t="s">
        <v>74</v>
      </c>
      <c r="J3759" t="s">
        <v>48</v>
      </c>
      <c r="K3759" t="s">
        <v>535</v>
      </c>
      <c r="L3759" t="s">
        <v>9008</v>
      </c>
      <c r="M3759" s="3" t="str">
        <f>HYPERLINK("..\..\Imagery\ScannedPhotos\1981\CG81-421.jpg")</f>
        <v>..\..\Imagery\ScannedPhotos\1981\CG81-421.jpg</v>
      </c>
    </row>
    <row r="3760" spans="1:13" x14ac:dyDescent="0.25">
      <c r="A3760" t="s">
        <v>9009</v>
      </c>
      <c r="B3760">
        <v>526962</v>
      </c>
      <c r="C3760">
        <v>5944640</v>
      </c>
      <c r="D3760">
        <v>21</v>
      </c>
      <c r="E3760" t="s">
        <v>15</v>
      </c>
      <c r="F3760" t="s">
        <v>9010</v>
      </c>
      <c r="G3760">
        <v>2</v>
      </c>
      <c r="H3760" t="s">
        <v>845</v>
      </c>
      <c r="I3760" t="s">
        <v>18</v>
      </c>
      <c r="J3760" t="s">
        <v>48</v>
      </c>
      <c r="K3760" t="s">
        <v>20</v>
      </c>
      <c r="L3760" t="s">
        <v>9011</v>
      </c>
      <c r="M3760" s="3" t="str">
        <f>HYPERLINK("..\..\Imagery\ScannedPhotos\1981\CG81-428.1.jpg")</f>
        <v>..\..\Imagery\ScannedPhotos\1981\CG81-428.1.jpg</v>
      </c>
    </row>
    <row r="3761" spans="1:13" x14ac:dyDescent="0.25">
      <c r="A3761" t="s">
        <v>9009</v>
      </c>
      <c r="B3761">
        <v>526962</v>
      </c>
      <c r="C3761">
        <v>5944640</v>
      </c>
      <c r="D3761">
        <v>21</v>
      </c>
      <c r="E3761" t="s">
        <v>15</v>
      </c>
      <c r="F3761" t="s">
        <v>9012</v>
      </c>
      <c r="G3761">
        <v>2</v>
      </c>
      <c r="H3761" t="s">
        <v>845</v>
      </c>
      <c r="I3761" t="s">
        <v>35</v>
      </c>
      <c r="J3761" t="s">
        <v>48</v>
      </c>
      <c r="K3761" t="s">
        <v>20</v>
      </c>
      <c r="L3761" t="s">
        <v>9013</v>
      </c>
      <c r="M3761" s="3" t="str">
        <f>HYPERLINK("..\..\Imagery\ScannedPhotos\1981\CG81-428.2.jpg")</f>
        <v>..\..\Imagery\ScannedPhotos\1981\CG81-428.2.jpg</v>
      </c>
    </row>
    <row r="3762" spans="1:13" x14ac:dyDescent="0.25">
      <c r="A3762" t="s">
        <v>843</v>
      </c>
      <c r="B3762">
        <v>400849</v>
      </c>
      <c r="C3762">
        <v>5943539</v>
      </c>
      <c r="D3762">
        <v>21</v>
      </c>
      <c r="E3762" t="s">
        <v>15</v>
      </c>
      <c r="F3762" t="s">
        <v>9014</v>
      </c>
      <c r="G3762">
        <v>3</v>
      </c>
      <c r="H3762" t="s">
        <v>845</v>
      </c>
      <c r="I3762" t="s">
        <v>304</v>
      </c>
      <c r="J3762" t="s">
        <v>48</v>
      </c>
      <c r="K3762" t="s">
        <v>228</v>
      </c>
      <c r="L3762" t="s">
        <v>846</v>
      </c>
      <c r="M3762" s="3" t="str">
        <f>HYPERLINK("..\..\Imagery\ScannedPhotos\1981\CG81-593.3.jpg")</f>
        <v>..\..\Imagery\ScannedPhotos\1981\CG81-593.3.jpg</v>
      </c>
    </row>
    <row r="3763" spans="1:13" x14ac:dyDescent="0.25">
      <c r="A3763" t="s">
        <v>4397</v>
      </c>
      <c r="B3763">
        <v>591006</v>
      </c>
      <c r="C3763">
        <v>5806307</v>
      </c>
      <c r="D3763">
        <v>21</v>
      </c>
      <c r="E3763" t="s">
        <v>15</v>
      </c>
      <c r="F3763" t="s">
        <v>9015</v>
      </c>
      <c r="G3763">
        <v>5</v>
      </c>
      <c r="H3763" t="s">
        <v>1688</v>
      </c>
      <c r="I3763" t="s">
        <v>418</v>
      </c>
      <c r="J3763" t="s">
        <v>1052</v>
      </c>
      <c r="K3763" t="s">
        <v>20</v>
      </c>
      <c r="L3763" t="s">
        <v>9016</v>
      </c>
      <c r="M3763" s="3" t="str">
        <f>HYPERLINK("..\..\Imagery\ScannedPhotos\1987\VN87-393.2.jpg")</f>
        <v>..\..\Imagery\ScannedPhotos\1987\VN87-393.2.jpg</v>
      </c>
    </row>
    <row r="3764" spans="1:13" x14ac:dyDescent="0.25">
      <c r="A3764" t="s">
        <v>2877</v>
      </c>
      <c r="B3764">
        <v>487350</v>
      </c>
      <c r="C3764">
        <v>5845375</v>
      </c>
      <c r="D3764">
        <v>21</v>
      </c>
      <c r="E3764" t="s">
        <v>15</v>
      </c>
      <c r="F3764" t="s">
        <v>9017</v>
      </c>
      <c r="G3764">
        <v>6</v>
      </c>
      <c r="H3764" t="s">
        <v>1128</v>
      </c>
      <c r="I3764" t="s">
        <v>304</v>
      </c>
      <c r="J3764" t="s">
        <v>1129</v>
      </c>
      <c r="K3764" t="s">
        <v>20</v>
      </c>
      <c r="L3764" t="s">
        <v>4414</v>
      </c>
      <c r="M3764" s="3" t="str">
        <f>HYPERLINK("..\..\Imagery\ScannedPhotos\1991\VN91-108.4.jpg")</f>
        <v>..\..\Imagery\ScannedPhotos\1991\VN91-108.4.jpg</v>
      </c>
    </row>
    <row r="3765" spans="1:13" x14ac:dyDescent="0.25">
      <c r="A3765" t="s">
        <v>2965</v>
      </c>
      <c r="B3765">
        <v>420885</v>
      </c>
      <c r="C3765">
        <v>6009187</v>
      </c>
      <c r="D3765">
        <v>21</v>
      </c>
      <c r="E3765" t="s">
        <v>15</v>
      </c>
      <c r="F3765" t="s">
        <v>9018</v>
      </c>
      <c r="G3765">
        <v>5</v>
      </c>
      <c r="H3765" t="s">
        <v>2967</v>
      </c>
      <c r="I3765" t="s">
        <v>304</v>
      </c>
      <c r="J3765" t="s">
        <v>2968</v>
      </c>
      <c r="K3765" t="s">
        <v>20</v>
      </c>
      <c r="L3765" t="s">
        <v>2969</v>
      </c>
      <c r="M3765" s="3" t="str">
        <f>HYPERLINK("..\..\Imagery\ScannedPhotos\1980\RG80-104.4.jpg")</f>
        <v>..\..\Imagery\ScannedPhotos\1980\RG80-104.4.jpg</v>
      </c>
    </row>
    <row r="3766" spans="1:13" x14ac:dyDescent="0.25">
      <c r="A3766" t="s">
        <v>2965</v>
      </c>
      <c r="B3766">
        <v>420885</v>
      </c>
      <c r="C3766">
        <v>6009187</v>
      </c>
      <c r="D3766">
        <v>21</v>
      </c>
      <c r="E3766" t="s">
        <v>15</v>
      </c>
      <c r="F3766" t="s">
        <v>9019</v>
      </c>
      <c r="G3766">
        <v>5</v>
      </c>
      <c r="H3766" t="s">
        <v>2967</v>
      </c>
      <c r="I3766" t="s">
        <v>195</v>
      </c>
      <c r="J3766" t="s">
        <v>2968</v>
      </c>
      <c r="K3766" t="s">
        <v>20</v>
      </c>
      <c r="L3766" t="s">
        <v>9020</v>
      </c>
      <c r="M3766" s="3" t="str">
        <f>HYPERLINK("..\..\Imagery\ScannedPhotos\1980\RG80-104.5.jpg")</f>
        <v>..\..\Imagery\ScannedPhotos\1980\RG80-104.5.jpg</v>
      </c>
    </row>
    <row r="3767" spans="1:13" x14ac:dyDescent="0.25">
      <c r="A3767" t="s">
        <v>1004</v>
      </c>
      <c r="B3767">
        <v>430801</v>
      </c>
      <c r="C3767">
        <v>6010018</v>
      </c>
      <c r="D3767">
        <v>21</v>
      </c>
      <c r="E3767" t="s">
        <v>15</v>
      </c>
      <c r="F3767" t="s">
        <v>9021</v>
      </c>
      <c r="G3767">
        <v>5</v>
      </c>
      <c r="H3767" t="s">
        <v>1518</v>
      </c>
      <c r="I3767" t="s">
        <v>647</v>
      </c>
      <c r="J3767" t="s">
        <v>48</v>
      </c>
      <c r="K3767" t="s">
        <v>20</v>
      </c>
      <c r="L3767" t="s">
        <v>9022</v>
      </c>
      <c r="M3767" s="3" t="str">
        <f>HYPERLINK("..\..\Imagery\ScannedPhotos\1980\CG80-054.4.jpg")</f>
        <v>..\..\Imagery\ScannedPhotos\1980\CG80-054.4.jpg</v>
      </c>
    </row>
    <row r="3768" spans="1:13" x14ac:dyDescent="0.25">
      <c r="A3768" t="s">
        <v>9023</v>
      </c>
      <c r="B3768">
        <v>559467</v>
      </c>
      <c r="C3768">
        <v>5808350</v>
      </c>
      <c r="D3768">
        <v>21</v>
      </c>
      <c r="E3768" t="s">
        <v>15</v>
      </c>
      <c r="F3768" t="s">
        <v>9024</v>
      </c>
      <c r="G3768">
        <v>1</v>
      </c>
      <c r="H3768" t="s">
        <v>1759</v>
      </c>
      <c r="I3768" t="s">
        <v>217</v>
      </c>
      <c r="J3768" t="s">
        <v>36</v>
      </c>
      <c r="K3768" t="s">
        <v>20</v>
      </c>
      <c r="L3768" t="s">
        <v>9025</v>
      </c>
      <c r="M3768" s="3" t="str">
        <f>HYPERLINK("..\..\Imagery\ScannedPhotos\1987\XX87-018.jpg")</f>
        <v>..\..\Imagery\ScannedPhotos\1987\XX87-018.jpg</v>
      </c>
    </row>
    <row r="3769" spans="1:13" x14ac:dyDescent="0.25">
      <c r="A3769" t="s">
        <v>9026</v>
      </c>
      <c r="B3769">
        <v>565383</v>
      </c>
      <c r="C3769">
        <v>5805917</v>
      </c>
      <c r="D3769">
        <v>21</v>
      </c>
      <c r="E3769" t="s">
        <v>15</v>
      </c>
      <c r="F3769" t="s">
        <v>9027</v>
      </c>
      <c r="G3769">
        <v>1</v>
      </c>
      <c r="H3769" t="s">
        <v>3016</v>
      </c>
      <c r="I3769" t="s">
        <v>79</v>
      </c>
      <c r="J3769" t="s">
        <v>1651</v>
      </c>
      <c r="K3769" t="s">
        <v>20</v>
      </c>
      <c r="L3769" t="s">
        <v>9028</v>
      </c>
      <c r="M3769" s="3" t="str">
        <f>HYPERLINK("..\..\Imagery\ScannedPhotos\1987\XX87-028.jpg")</f>
        <v>..\..\Imagery\ScannedPhotos\1987\XX87-028.jpg</v>
      </c>
    </row>
    <row r="3770" spans="1:13" x14ac:dyDescent="0.25">
      <c r="A3770" t="s">
        <v>9029</v>
      </c>
      <c r="B3770">
        <v>566412</v>
      </c>
      <c r="C3770">
        <v>5805171</v>
      </c>
      <c r="D3770">
        <v>21</v>
      </c>
      <c r="E3770" t="s">
        <v>15</v>
      </c>
      <c r="F3770" t="s">
        <v>9030</v>
      </c>
      <c r="G3770">
        <v>2</v>
      </c>
      <c r="H3770" t="s">
        <v>3016</v>
      </c>
      <c r="I3770" t="s">
        <v>137</v>
      </c>
      <c r="J3770" t="s">
        <v>1651</v>
      </c>
      <c r="K3770" t="s">
        <v>20</v>
      </c>
      <c r="L3770" t="s">
        <v>2949</v>
      </c>
      <c r="M3770" s="3" t="str">
        <f>HYPERLINK("..\..\Imagery\ScannedPhotos\1987\XX87-031.1.jpg")</f>
        <v>..\..\Imagery\ScannedPhotos\1987\XX87-031.1.jpg</v>
      </c>
    </row>
    <row r="3771" spans="1:13" x14ac:dyDescent="0.25">
      <c r="A3771" t="s">
        <v>9029</v>
      </c>
      <c r="B3771">
        <v>566412</v>
      </c>
      <c r="C3771">
        <v>5805171</v>
      </c>
      <c r="D3771">
        <v>21</v>
      </c>
      <c r="E3771" t="s">
        <v>15</v>
      </c>
      <c r="F3771" t="s">
        <v>9031</v>
      </c>
      <c r="G3771">
        <v>2</v>
      </c>
      <c r="H3771" t="s">
        <v>3016</v>
      </c>
      <c r="I3771" t="s">
        <v>35</v>
      </c>
      <c r="J3771" t="s">
        <v>1651</v>
      </c>
      <c r="K3771" t="s">
        <v>20</v>
      </c>
      <c r="L3771" t="s">
        <v>9032</v>
      </c>
      <c r="M3771" s="3" t="str">
        <f>HYPERLINK("..\..\Imagery\ScannedPhotos\1987\XX87-031.2.jpg")</f>
        <v>..\..\Imagery\ScannedPhotos\1987\XX87-031.2.jpg</v>
      </c>
    </row>
    <row r="3772" spans="1:13" x14ac:dyDescent="0.25">
      <c r="A3772" t="s">
        <v>9033</v>
      </c>
      <c r="B3772">
        <v>567847</v>
      </c>
      <c r="C3772">
        <v>5804552</v>
      </c>
      <c r="D3772">
        <v>21</v>
      </c>
      <c r="E3772" t="s">
        <v>15</v>
      </c>
      <c r="F3772" t="s">
        <v>9034</v>
      </c>
      <c r="G3772">
        <v>1</v>
      </c>
      <c r="H3772" t="s">
        <v>3016</v>
      </c>
      <c r="I3772" t="s">
        <v>85</v>
      </c>
      <c r="J3772" t="s">
        <v>1651</v>
      </c>
      <c r="K3772" t="s">
        <v>20</v>
      </c>
      <c r="L3772" t="s">
        <v>9035</v>
      </c>
      <c r="M3772" s="3" t="str">
        <f>HYPERLINK("..\..\Imagery\ScannedPhotos\1987\XX87-034.jpg")</f>
        <v>..\..\Imagery\ScannedPhotos\1987\XX87-034.jpg</v>
      </c>
    </row>
    <row r="3773" spans="1:13" x14ac:dyDescent="0.25">
      <c r="A3773" t="s">
        <v>9036</v>
      </c>
      <c r="B3773">
        <v>568425</v>
      </c>
      <c r="C3773">
        <v>5804354</v>
      </c>
      <c r="D3773">
        <v>21</v>
      </c>
      <c r="E3773" t="s">
        <v>15</v>
      </c>
      <c r="F3773" t="s">
        <v>9037</v>
      </c>
      <c r="G3773">
        <v>1</v>
      </c>
      <c r="H3773" t="s">
        <v>3016</v>
      </c>
      <c r="I3773" t="s">
        <v>375</v>
      </c>
      <c r="J3773" t="s">
        <v>1651</v>
      </c>
      <c r="K3773" t="s">
        <v>20</v>
      </c>
      <c r="L3773" t="s">
        <v>9038</v>
      </c>
      <c r="M3773" s="3" t="str">
        <f>HYPERLINK("..\..\Imagery\ScannedPhotos\1987\XX87-035.jpg")</f>
        <v>..\..\Imagery\ScannedPhotos\1987\XX87-035.jpg</v>
      </c>
    </row>
    <row r="3774" spans="1:13" x14ac:dyDescent="0.25">
      <c r="A3774" t="s">
        <v>9039</v>
      </c>
      <c r="B3774">
        <v>378196</v>
      </c>
      <c r="C3774">
        <v>5979074</v>
      </c>
      <c r="D3774">
        <v>21</v>
      </c>
      <c r="E3774" t="s">
        <v>15</v>
      </c>
      <c r="F3774" t="s">
        <v>9040</v>
      </c>
      <c r="G3774">
        <v>2</v>
      </c>
      <c r="H3774" t="s">
        <v>622</v>
      </c>
      <c r="I3774" t="s">
        <v>126</v>
      </c>
      <c r="J3774" t="s">
        <v>623</v>
      </c>
      <c r="K3774" t="s">
        <v>20</v>
      </c>
      <c r="L3774" t="s">
        <v>9041</v>
      </c>
      <c r="M3774" s="3" t="str">
        <f>HYPERLINK("..\..\Imagery\ScannedPhotos\1980\NN80-170.1.jpg")</f>
        <v>..\..\Imagery\ScannedPhotos\1980\NN80-170.1.jpg</v>
      </c>
    </row>
    <row r="3775" spans="1:13" x14ac:dyDescent="0.25">
      <c r="A3775" t="s">
        <v>9039</v>
      </c>
      <c r="B3775">
        <v>378196</v>
      </c>
      <c r="C3775">
        <v>5979074</v>
      </c>
      <c r="D3775">
        <v>21</v>
      </c>
      <c r="E3775" t="s">
        <v>15</v>
      </c>
      <c r="F3775" t="s">
        <v>9042</v>
      </c>
      <c r="G3775">
        <v>2</v>
      </c>
      <c r="H3775" t="s">
        <v>622</v>
      </c>
      <c r="I3775" t="s">
        <v>108</v>
      </c>
      <c r="J3775" t="s">
        <v>623</v>
      </c>
      <c r="K3775" t="s">
        <v>20</v>
      </c>
      <c r="L3775" t="s">
        <v>9041</v>
      </c>
      <c r="M3775" s="3" t="str">
        <f>HYPERLINK("..\..\Imagery\ScannedPhotos\1980\NN80-170.2.jpg")</f>
        <v>..\..\Imagery\ScannedPhotos\1980\NN80-170.2.jpg</v>
      </c>
    </row>
    <row r="3776" spans="1:13" x14ac:dyDescent="0.25">
      <c r="A3776" t="s">
        <v>9043</v>
      </c>
      <c r="B3776">
        <v>378657</v>
      </c>
      <c r="C3776">
        <v>5979310</v>
      </c>
      <c r="D3776">
        <v>21</v>
      </c>
      <c r="E3776" t="s">
        <v>15</v>
      </c>
      <c r="F3776" t="s">
        <v>9044</v>
      </c>
      <c r="G3776">
        <v>1</v>
      </c>
      <c r="H3776" t="s">
        <v>622</v>
      </c>
      <c r="I3776" t="s">
        <v>132</v>
      </c>
      <c r="J3776" t="s">
        <v>623</v>
      </c>
      <c r="K3776" t="s">
        <v>20</v>
      </c>
      <c r="L3776" t="s">
        <v>9045</v>
      </c>
      <c r="M3776" s="3" t="str">
        <f>HYPERLINK("..\..\Imagery\ScannedPhotos\1980\NN80-172.jpg")</f>
        <v>..\..\Imagery\ScannedPhotos\1980\NN80-172.jpg</v>
      </c>
    </row>
    <row r="3777" spans="1:13" x14ac:dyDescent="0.25">
      <c r="A3777" t="s">
        <v>9046</v>
      </c>
      <c r="B3777">
        <v>378848</v>
      </c>
      <c r="C3777">
        <v>5979370</v>
      </c>
      <c r="D3777">
        <v>21</v>
      </c>
      <c r="E3777" t="s">
        <v>15</v>
      </c>
      <c r="F3777" t="s">
        <v>9047</v>
      </c>
      <c r="G3777">
        <v>1</v>
      </c>
      <c r="H3777" t="s">
        <v>622</v>
      </c>
      <c r="I3777" t="s">
        <v>129</v>
      </c>
      <c r="J3777" t="s">
        <v>623</v>
      </c>
      <c r="K3777" t="s">
        <v>20</v>
      </c>
      <c r="L3777" t="s">
        <v>9048</v>
      </c>
      <c r="M3777" s="3" t="str">
        <f>HYPERLINK("..\..\Imagery\ScannedPhotos\1980\NN80-173.jpg")</f>
        <v>..\..\Imagery\ScannedPhotos\1980\NN80-173.jpg</v>
      </c>
    </row>
    <row r="3778" spans="1:13" x14ac:dyDescent="0.25">
      <c r="A3778" t="s">
        <v>134</v>
      </c>
      <c r="B3778">
        <v>582169</v>
      </c>
      <c r="C3778">
        <v>5899769</v>
      </c>
      <c r="D3778">
        <v>21</v>
      </c>
      <c r="E3778" t="s">
        <v>15</v>
      </c>
      <c r="F3778" t="s">
        <v>9049</v>
      </c>
      <c r="G3778">
        <v>6</v>
      </c>
      <c r="H3778" t="s">
        <v>136</v>
      </c>
      <c r="I3778" t="s">
        <v>41</v>
      </c>
      <c r="J3778" t="s">
        <v>138</v>
      </c>
      <c r="K3778" t="s">
        <v>20</v>
      </c>
      <c r="L3778" t="s">
        <v>5444</v>
      </c>
      <c r="M3778" s="3" t="str">
        <f>HYPERLINK("..\..\Imagery\ScannedPhotos\1985\GM85-536.6.jpg")</f>
        <v>..\..\Imagery\ScannedPhotos\1985\GM85-536.6.jpg</v>
      </c>
    </row>
    <row r="3779" spans="1:13" x14ac:dyDescent="0.25">
      <c r="A3779" t="s">
        <v>7207</v>
      </c>
      <c r="B3779">
        <v>581913</v>
      </c>
      <c r="C3779">
        <v>5899217</v>
      </c>
      <c r="D3779">
        <v>21</v>
      </c>
      <c r="E3779" t="s">
        <v>15</v>
      </c>
      <c r="F3779" t="s">
        <v>9050</v>
      </c>
      <c r="G3779">
        <v>6</v>
      </c>
      <c r="H3779" t="s">
        <v>136</v>
      </c>
      <c r="I3779" t="s">
        <v>85</v>
      </c>
      <c r="J3779" t="s">
        <v>138</v>
      </c>
      <c r="K3779" t="s">
        <v>56</v>
      </c>
      <c r="L3779" t="s">
        <v>3459</v>
      </c>
      <c r="M3779" s="3" t="str">
        <f>HYPERLINK("..\..\Imagery\ScannedPhotos\1985\GM85-538.1.jpg")</f>
        <v>..\..\Imagery\ScannedPhotos\1985\GM85-538.1.jpg</v>
      </c>
    </row>
    <row r="3780" spans="1:13" x14ac:dyDescent="0.25">
      <c r="A3780" t="s">
        <v>6126</v>
      </c>
      <c r="B3780">
        <v>500522</v>
      </c>
      <c r="C3780">
        <v>5950978</v>
      </c>
      <c r="D3780">
        <v>21</v>
      </c>
      <c r="E3780" t="s">
        <v>15</v>
      </c>
      <c r="F3780" t="s">
        <v>9051</v>
      </c>
      <c r="G3780">
        <v>7</v>
      </c>
      <c r="K3780" t="s">
        <v>228</v>
      </c>
      <c r="L3780" t="s">
        <v>7281</v>
      </c>
      <c r="M3780" s="3" t="str">
        <f>HYPERLINK("..\..\Imagery\ScannedPhotos\2004\CG04-278.7.jpg")</f>
        <v>..\..\Imagery\ScannedPhotos\2004\CG04-278.7.jpg</v>
      </c>
    </row>
    <row r="3781" spans="1:13" x14ac:dyDescent="0.25">
      <c r="A3781" t="s">
        <v>9052</v>
      </c>
      <c r="B3781">
        <v>558367</v>
      </c>
      <c r="C3781">
        <v>5809272</v>
      </c>
      <c r="D3781">
        <v>21</v>
      </c>
      <c r="E3781" t="s">
        <v>15</v>
      </c>
      <c r="F3781" t="s">
        <v>9053</v>
      </c>
      <c r="G3781">
        <v>1</v>
      </c>
      <c r="K3781" t="s">
        <v>56</v>
      </c>
      <c r="L3781" t="s">
        <v>9054</v>
      </c>
      <c r="M3781" s="3" t="str">
        <f>HYPERLINK("..\..\Imagery\ScannedPhotos\2003\CG03-190.jpg")</f>
        <v>..\..\Imagery\ScannedPhotos\2003\CG03-190.jpg</v>
      </c>
    </row>
    <row r="3782" spans="1:13" x14ac:dyDescent="0.25">
      <c r="A3782" t="s">
        <v>9055</v>
      </c>
      <c r="B3782">
        <v>523236</v>
      </c>
      <c r="C3782">
        <v>5836006</v>
      </c>
      <c r="D3782">
        <v>21</v>
      </c>
      <c r="E3782" t="s">
        <v>15</v>
      </c>
      <c r="F3782" t="s">
        <v>9056</v>
      </c>
      <c r="G3782">
        <v>1</v>
      </c>
      <c r="H3782" t="s">
        <v>1851</v>
      </c>
      <c r="I3782" t="s">
        <v>79</v>
      </c>
      <c r="J3782" t="s">
        <v>1852</v>
      </c>
      <c r="K3782" t="s">
        <v>20</v>
      </c>
      <c r="L3782" t="s">
        <v>9057</v>
      </c>
      <c r="M3782" s="3" t="str">
        <f>HYPERLINK("..\..\Imagery\ScannedPhotos\1986\MN86-271.jpg")</f>
        <v>..\..\Imagery\ScannedPhotos\1986\MN86-271.jpg</v>
      </c>
    </row>
    <row r="3783" spans="1:13" x14ac:dyDescent="0.25">
      <c r="A3783" t="s">
        <v>9058</v>
      </c>
      <c r="B3783">
        <v>490533</v>
      </c>
      <c r="C3783">
        <v>5855006</v>
      </c>
      <c r="D3783">
        <v>21</v>
      </c>
      <c r="E3783" t="s">
        <v>15</v>
      </c>
      <c r="F3783" t="s">
        <v>9059</v>
      </c>
      <c r="G3783">
        <v>1</v>
      </c>
      <c r="H3783" t="s">
        <v>849</v>
      </c>
      <c r="I3783" t="s">
        <v>418</v>
      </c>
      <c r="J3783" t="s">
        <v>850</v>
      </c>
      <c r="K3783" t="s">
        <v>20</v>
      </c>
      <c r="L3783" t="s">
        <v>9060</v>
      </c>
      <c r="M3783" s="3" t="str">
        <f>HYPERLINK("..\..\Imagery\ScannedPhotos\1991\VN91-181.jpg")</f>
        <v>..\..\Imagery\ScannedPhotos\1991\VN91-181.jpg</v>
      </c>
    </row>
    <row r="3784" spans="1:13" x14ac:dyDescent="0.25">
      <c r="A3784" t="s">
        <v>9061</v>
      </c>
      <c r="B3784">
        <v>578395</v>
      </c>
      <c r="C3784">
        <v>5817001</v>
      </c>
      <c r="D3784">
        <v>21</v>
      </c>
      <c r="E3784" t="s">
        <v>15</v>
      </c>
      <c r="F3784" t="s">
        <v>9062</v>
      </c>
      <c r="G3784">
        <v>1</v>
      </c>
      <c r="H3784" t="s">
        <v>5918</v>
      </c>
      <c r="I3784" t="s">
        <v>94</v>
      </c>
      <c r="J3784" t="s">
        <v>1619</v>
      </c>
      <c r="K3784" t="s">
        <v>20</v>
      </c>
      <c r="L3784" t="s">
        <v>9063</v>
      </c>
      <c r="M3784" s="3" t="str">
        <f>HYPERLINK("..\..\Imagery\ScannedPhotos\1987\VN87-128.jpg")</f>
        <v>..\..\Imagery\ScannedPhotos\1987\VN87-128.jpg</v>
      </c>
    </row>
    <row r="3785" spans="1:13" x14ac:dyDescent="0.25">
      <c r="A3785" t="s">
        <v>9064</v>
      </c>
      <c r="B3785">
        <v>577851</v>
      </c>
      <c r="C3785">
        <v>5816775</v>
      </c>
      <c r="D3785">
        <v>21</v>
      </c>
      <c r="E3785" t="s">
        <v>15</v>
      </c>
      <c r="F3785" t="s">
        <v>9065</v>
      </c>
      <c r="G3785">
        <v>1</v>
      </c>
      <c r="H3785" t="s">
        <v>5918</v>
      </c>
      <c r="I3785" t="s">
        <v>209</v>
      </c>
      <c r="J3785" t="s">
        <v>1619</v>
      </c>
      <c r="K3785" t="s">
        <v>56</v>
      </c>
      <c r="L3785" t="s">
        <v>9066</v>
      </c>
      <c r="M3785" s="3" t="str">
        <f>HYPERLINK("..\..\Imagery\ScannedPhotos\1987\VN87-130.jpg")</f>
        <v>..\..\Imagery\ScannedPhotos\1987\VN87-130.jpg</v>
      </c>
    </row>
    <row r="3786" spans="1:13" x14ac:dyDescent="0.25">
      <c r="A3786" t="s">
        <v>9067</v>
      </c>
      <c r="B3786">
        <v>577962</v>
      </c>
      <c r="C3786">
        <v>5815765</v>
      </c>
      <c r="D3786">
        <v>21</v>
      </c>
      <c r="E3786" t="s">
        <v>15</v>
      </c>
      <c r="F3786" t="s">
        <v>9068</v>
      </c>
      <c r="G3786">
        <v>2</v>
      </c>
      <c r="H3786" t="s">
        <v>5918</v>
      </c>
      <c r="I3786" t="s">
        <v>386</v>
      </c>
      <c r="J3786" t="s">
        <v>1619</v>
      </c>
      <c r="K3786" t="s">
        <v>20</v>
      </c>
      <c r="L3786" t="s">
        <v>9069</v>
      </c>
      <c r="M3786" s="3" t="str">
        <f>HYPERLINK("..\..\Imagery\ScannedPhotos\1987\VN87-135.1.jpg")</f>
        <v>..\..\Imagery\ScannedPhotos\1987\VN87-135.1.jpg</v>
      </c>
    </row>
    <row r="3787" spans="1:13" x14ac:dyDescent="0.25">
      <c r="A3787" t="s">
        <v>9070</v>
      </c>
      <c r="B3787">
        <v>582547</v>
      </c>
      <c r="C3787">
        <v>5887482</v>
      </c>
      <c r="D3787">
        <v>21</v>
      </c>
      <c r="E3787" t="s">
        <v>15</v>
      </c>
      <c r="F3787" t="s">
        <v>9071</v>
      </c>
      <c r="G3787">
        <v>4</v>
      </c>
      <c r="H3787" t="s">
        <v>4870</v>
      </c>
      <c r="I3787" t="s">
        <v>360</v>
      </c>
      <c r="J3787" t="s">
        <v>138</v>
      </c>
      <c r="K3787" t="s">
        <v>20</v>
      </c>
      <c r="L3787" t="s">
        <v>9072</v>
      </c>
      <c r="M3787" s="3" t="str">
        <f>HYPERLINK("..\..\Imagery\ScannedPhotos\1985\GM85-517.4.jpg")</f>
        <v>..\..\Imagery\ScannedPhotos\1985\GM85-517.4.jpg</v>
      </c>
    </row>
    <row r="3788" spans="1:13" x14ac:dyDescent="0.25">
      <c r="A3788" t="s">
        <v>9070</v>
      </c>
      <c r="B3788">
        <v>582547</v>
      </c>
      <c r="C3788">
        <v>5887482</v>
      </c>
      <c r="D3788">
        <v>21</v>
      </c>
      <c r="E3788" t="s">
        <v>15</v>
      </c>
      <c r="F3788" t="s">
        <v>9073</v>
      </c>
      <c r="G3788">
        <v>4</v>
      </c>
      <c r="H3788" t="s">
        <v>4870</v>
      </c>
      <c r="I3788" t="s">
        <v>25</v>
      </c>
      <c r="J3788" t="s">
        <v>138</v>
      </c>
      <c r="K3788" t="s">
        <v>20</v>
      </c>
      <c r="L3788" t="s">
        <v>9072</v>
      </c>
      <c r="M3788" s="3" t="str">
        <f>HYPERLINK("..\..\Imagery\ScannedPhotos\1985\GM85-517.3.jpg")</f>
        <v>..\..\Imagery\ScannedPhotos\1985\GM85-517.3.jpg</v>
      </c>
    </row>
    <row r="3789" spans="1:13" x14ac:dyDescent="0.25">
      <c r="A3789" t="s">
        <v>9074</v>
      </c>
      <c r="B3789">
        <v>582447</v>
      </c>
      <c r="C3789">
        <v>5888229</v>
      </c>
      <c r="D3789">
        <v>21</v>
      </c>
      <c r="E3789" t="s">
        <v>15</v>
      </c>
      <c r="F3789" t="s">
        <v>9075</v>
      </c>
      <c r="G3789">
        <v>2</v>
      </c>
      <c r="H3789" t="s">
        <v>4870</v>
      </c>
      <c r="I3789" t="s">
        <v>647</v>
      </c>
      <c r="J3789" t="s">
        <v>138</v>
      </c>
      <c r="K3789" t="s">
        <v>20</v>
      </c>
      <c r="L3789" t="s">
        <v>9076</v>
      </c>
      <c r="M3789" s="3" t="str">
        <f>HYPERLINK("..\..\Imagery\ScannedPhotos\1985\GM85-520.1.jpg")</f>
        <v>..\..\Imagery\ScannedPhotos\1985\GM85-520.1.jpg</v>
      </c>
    </row>
    <row r="3790" spans="1:13" x14ac:dyDescent="0.25">
      <c r="A3790" t="s">
        <v>9074</v>
      </c>
      <c r="B3790">
        <v>582447</v>
      </c>
      <c r="C3790">
        <v>5888229</v>
      </c>
      <c r="D3790">
        <v>21</v>
      </c>
      <c r="E3790" t="s">
        <v>15</v>
      </c>
      <c r="F3790" t="s">
        <v>9077</v>
      </c>
      <c r="G3790">
        <v>2</v>
      </c>
      <c r="H3790" t="s">
        <v>4870</v>
      </c>
      <c r="I3790" t="s">
        <v>30</v>
      </c>
      <c r="J3790" t="s">
        <v>138</v>
      </c>
      <c r="K3790" t="s">
        <v>20</v>
      </c>
      <c r="L3790" t="s">
        <v>9076</v>
      </c>
      <c r="M3790" s="3" t="str">
        <f>HYPERLINK("..\..\Imagery\ScannedPhotos\1985\GM85-520.2.jpg")</f>
        <v>..\..\Imagery\ScannedPhotos\1985\GM85-520.2.jpg</v>
      </c>
    </row>
    <row r="3791" spans="1:13" x14ac:dyDescent="0.25">
      <c r="A3791" t="s">
        <v>9078</v>
      </c>
      <c r="B3791">
        <v>583058</v>
      </c>
      <c r="C3791">
        <v>5887693</v>
      </c>
      <c r="D3791">
        <v>21</v>
      </c>
      <c r="E3791" t="s">
        <v>15</v>
      </c>
      <c r="F3791" t="s">
        <v>9079</v>
      </c>
      <c r="G3791">
        <v>3</v>
      </c>
      <c r="H3791" t="s">
        <v>4870</v>
      </c>
      <c r="I3791" t="s">
        <v>119</v>
      </c>
      <c r="J3791" t="s">
        <v>138</v>
      </c>
      <c r="K3791" t="s">
        <v>20</v>
      </c>
      <c r="L3791" t="s">
        <v>9080</v>
      </c>
      <c r="M3791" s="3" t="str">
        <f>HYPERLINK("..\..\Imagery\ScannedPhotos\1985\GM85-522.2.jpg")</f>
        <v>..\..\Imagery\ScannedPhotos\1985\GM85-522.2.jpg</v>
      </c>
    </row>
    <row r="3792" spans="1:13" x14ac:dyDescent="0.25">
      <c r="A3792" t="s">
        <v>9078</v>
      </c>
      <c r="B3792">
        <v>583058</v>
      </c>
      <c r="C3792">
        <v>5887693</v>
      </c>
      <c r="D3792">
        <v>21</v>
      </c>
      <c r="E3792" t="s">
        <v>15</v>
      </c>
      <c r="F3792" t="s">
        <v>9081</v>
      </c>
      <c r="G3792">
        <v>3</v>
      </c>
      <c r="H3792" t="s">
        <v>4870</v>
      </c>
      <c r="I3792" t="s">
        <v>122</v>
      </c>
      <c r="J3792" t="s">
        <v>138</v>
      </c>
      <c r="K3792" t="s">
        <v>20</v>
      </c>
      <c r="L3792" t="s">
        <v>9080</v>
      </c>
      <c r="M3792" s="3" t="str">
        <f>HYPERLINK("..\..\Imagery\ScannedPhotos\1985\GM85-522.3.jpg")</f>
        <v>..\..\Imagery\ScannedPhotos\1985\GM85-522.3.jpg</v>
      </c>
    </row>
    <row r="3793" spans="1:13" x14ac:dyDescent="0.25">
      <c r="A3793" t="s">
        <v>9078</v>
      </c>
      <c r="B3793">
        <v>583058</v>
      </c>
      <c r="C3793">
        <v>5887693</v>
      </c>
      <c r="D3793">
        <v>21</v>
      </c>
      <c r="E3793" t="s">
        <v>15</v>
      </c>
      <c r="F3793" t="s">
        <v>9082</v>
      </c>
      <c r="G3793">
        <v>3</v>
      </c>
      <c r="H3793" t="s">
        <v>4870</v>
      </c>
      <c r="I3793" t="s">
        <v>114</v>
      </c>
      <c r="J3793" t="s">
        <v>138</v>
      </c>
      <c r="K3793" t="s">
        <v>20</v>
      </c>
      <c r="L3793" t="s">
        <v>9080</v>
      </c>
      <c r="M3793" s="3" t="str">
        <f>HYPERLINK("..\..\Imagery\ScannedPhotos\1985\GM85-522.1.jpg")</f>
        <v>..\..\Imagery\ScannedPhotos\1985\GM85-522.1.jpg</v>
      </c>
    </row>
    <row r="3794" spans="1:13" x14ac:dyDescent="0.25">
      <c r="A3794" t="s">
        <v>3356</v>
      </c>
      <c r="B3794">
        <v>596424</v>
      </c>
      <c r="C3794">
        <v>5792773</v>
      </c>
      <c r="D3794">
        <v>21</v>
      </c>
      <c r="E3794" t="s">
        <v>15</v>
      </c>
      <c r="F3794" t="s">
        <v>9083</v>
      </c>
      <c r="G3794">
        <v>6</v>
      </c>
      <c r="K3794" t="s">
        <v>56</v>
      </c>
      <c r="L3794" t="s">
        <v>7175</v>
      </c>
      <c r="M3794" s="3" t="str">
        <f>HYPERLINK("..\..\Imagery\ScannedPhotos\2007\CG07-143.5.jpg")</f>
        <v>..\..\Imagery\ScannedPhotos\2007\CG07-143.5.jpg</v>
      </c>
    </row>
    <row r="3795" spans="1:13" x14ac:dyDescent="0.25">
      <c r="A3795" t="s">
        <v>3356</v>
      </c>
      <c r="B3795">
        <v>596424</v>
      </c>
      <c r="C3795">
        <v>5792773</v>
      </c>
      <c r="D3795">
        <v>21</v>
      </c>
      <c r="E3795" t="s">
        <v>15</v>
      </c>
      <c r="F3795" t="s">
        <v>9084</v>
      </c>
      <c r="G3795">
        <v>6</v>
      </c>
      <c r="K3795" t="s">
        <v>20</v>
      </c>
      <c r="L3795" t="s">
        <v>5634</v>
      </c>
      <c r="M3795" s="3" t="str">
        <f>HYPERLINK("..\..\Imagery\ScannedPhotos\2007\CG07-143.6.jpg")</f>
        <v>..\..\Imagery\ScannedPhotos\2007\CG07-143.6.jpg</v>
      </c>
    </row>
    <row r="3796" spans="1:13" x14ac:dyDescent="0.25">
      <c r="A3796" t="s">
        <v>9085</v>
      </c>
      <c r="B3796">
        <v>596418</v>
      </c>
      <c r="C3796">
        <v>5792796</v>
      </c>
      <c r="D3796">
        <v>21</v>
      </c>
      <c r="E3796" t="s">
        <v>15</v>
      </c>
      <c r="F3796" t="s">
        <v>9086</v>
      </c>
      <c r="G3796">
        <v>2</v>
      </c>
      <c r="K3796" t="s">
        <v>56</v>
      </c>
      <c r="L3796" t="s">
        <v>9087</v>
      </c>
      <c r="M3796" s="3" t="str">
        <f>HYPERLINK("..\..\Imagery\ScannedPhotos\2007\CG07-144.1.jpg")</f>
        <v>..\..\Imagery\ScannedPhotos\2007\CG07-144.1.jpg</v>
      </c>
    </row>
    <row r="3797" spans="1:13" x14ac:dyDescent="0.25">
      <c r="A3797" t="s">
        <v>9085</v>
      </c>
      <c r="B3797">
        <v>596418</v>
      </c>
      <c r="C3797">
        <v>5792796</v>
      </c>
      <c r="D3797">
        <v>21</v>
      </c>
      <c r="E3797" t="s">
        <v>15</v>
      </c>
      <c r="F3797" t="s">
        <v>9088</v>
      </c>
      <c r="G3797">
        <v>2</v>
      </c>
      <c r="K3797" t="s">
        <v>56</v>
      </c>
      <c r="L3797" t="s">
        <v>9089</v>
      </c>
      <c r="M3797" s="3" t="str">
        <f>HYPERLINK("..\..\Imagery\ScannedPhotos\2007\CG07-144.2.jpg")</f>
        <v>..\..\Imagery\ScannedPhotos\2007\CG07-144.2.jpg</v>
      </c>
    </row>
    <row r="3798" spans="1:13" x14ac:dyDescent="0.25">
      <c r="A3798" t="s">
        <v>9090</v>
      </c>
      <c r="B3798">
        <v>493242</v>
      </c>
      <c r="C3798">
        <v>5932575</v>
      </c>
      <c r="D3798">
        <v>21</v>
      </c>
      <c r="E3798" t="s">
        <v>15</v>
      </c>
      <c r="F3798" t="s">
        <v>9091</v>
      </c>
      <c r="G3798">
        <v>1</v>
      </c>
      <c r="H3798" t="s">
        <v>1188</v>
      </c>
      <c r="I3798" t="s">
        <v>304</v>
      </c>
      <c r="J3798" t="s">
        <v>48</v>
      </c>
      <c r="K3798" t="s">
        <v>228</v>
      </c>
      <c r="L3798" t="s">
        <v>9092</v>
      </c>
      <c r="M3798" s="3" t="str">
        <f>HYPERLINK("..\..\Imagery\ScannedPhotos\1981\CG81-270.jpg")</f>
        <v>..\..\Imagery\ScannedPhotos\1981\CG81-270.jpg</v>
      </c>
    </row>
    <row r="3799" spans="1:13" x14ac:dyDescent="0.25">
      <c r="A3799" t="s">
        <v>4114</v>
      </c>
      <c r="B3799">
        <v>574550</v>
      </c>
      <c r="C3799">
        <v>5919000</v>
      </c>
      <c r="D3799">
        <v>21</v>
      </c>
      <c r="E3799" t="s">
        <v>15</v>
      </c>
      <c r="F3799" t="s">
        <v>9093</v>
      </c>
      <c r="G3799">
        <v>5</v>
      </c>
      <c r="H3799" t="s">
        <v>1577</v>
      </c>
      <c r="I3799" t="s">
        <v>304</v>
      </c>
      <c r="J3799" t="s">
        <v>1374</v>
      </c>
      <c r="K3799" t="s">
        <v>20</v>
      </c>
      <c r="L3799" t="s">
        <v>9094</v>
      </c>
      <c r="M3799" s="3" t="str">
        <f>HYPERLINK("..\..\Imagery\ScannedPhotos\1985\GM85-633.5.jpg")</f>
        <v>..\..\Imagery\ScannedPhotos\1985\GM85-633.5.jpg</v>
      </c>
    </row>
    <row r="3800" spans="1:13" x14ac:dyDescent="0.25">
      <c r="A3800" t="s">
        <v>9095</v>
      </c>
      <c r="B3800">
        <v>511445</v>
      </c>
      <c r="C3800">
        <v>5797817</v>
      </c>
      <c r="D3800">
        <v>21</v>
      </c>
      <c r="E3800" t="s">
        <v>15</v>
      </c>
      <c r="F3800" t="s">
        <v>9096</v>
      </c>
      <c r="G3800">
        <v>1</v>
      </c>
      <c r="H3800" t="s">
        <v>796</v>
      </c>
      <c r="I3800" t="s">
        <v>214</v>
      </c>
      <c r="J3800" t="s">
        <v>797</v>
      </c>
      <c r="K3800" t="s">
        <v>20</v>
      </c>
      <c r="L3800" t="s">
        <v>9097</v>
      </c>
      <c r="M3800" s="3" t="str">
        <f>HYPERLINK("..\..\Imagery\ScannedPhotos\1987\JS87-097.jpg")</f>
        <v>..\..\Imagery\ScannedPhotos\1987\JS87-097.jpg</v>
      </c>
    </row>
    <row r="3801" spans="1:13" x14ac:dyDescent="0.25">
      <c r="A3801" t="s">
        <v>9098</v>
      </c>
      <c r="B3801">
        <v>582396</v>
      </c>
      <c r="C3801">
        <v>5820953</v>
      </c>
      <c r="D3801">
        <v>21</v>
      </c>
      <c r="E3801" t="s">
        <v>15</v>
      </c>
      <c r="F3801" t="s">
        <v>9099</v>
      </c>
      <c r="G3801">
        <v>2</v>
      </c>
      <c r="H3801" t="s">
        <v>3201</v>
      </c>
      <c r="I3801" t="s">
        <v>18</v>
      </c>
      <c r="J3801" t="s">
        <v>3202</v>
      </c>
      <c r="K3801" t="s">
        <v>20</v>
      </c>
      <c r="L3801" t="s">
        <v>9100</v>
      </c>
      <c r="M3801" s="3" t="str">
        <f>HYPERLINK("..\..\Imagery\ScannedPhotos\1986\SN86-405.2.jpg")</f>
        <v>..\..\Imagery\ScannedPhotos\1986\SN86-405.2.jpg</v>
      </c>
    </row>
    <row r="3802" spans="1:13" x14ac:dyDescent="0.25">
      <c r="A3802" t="s">
        <v>4040</v>
      </c>
      <c r="B3802">
        <v>582608</v>
      </c>
      <c r="C3802">
        <v>5820478</v>
      </c>
      <c r="D3802">
        <v>21</v>
      </c>
      <c r="E3802" t="s">
        <v>15</v>
      </c>
      <c r="F3802" t="s">
        <v>9101</v>
      </c>
      <c r="G3802">
        <v>4</v>
      </c>
      <c r="H3802" t="s">
        <v>3201</v>
      </c>
      <c r="I3802" t="s">
        <v>35</v>
      </c>
      <c r="J3802" t="s">
        <v>3202</v>
      </c>
      <c r="K3802" t="s">
        <v>20</v>
      </c>
      <c r="L3802" t="s">
        <v>1020</v>
      </c>
      <c r="M3802" s="3" t="str">
        <f>HYPERLINK("..\..\Imagery\ScannedPhotos\1986\SN86-406.1.jpg")</f>
        <v>..\..\Imagery\ScannedPhotos\1986\SN86-406.1.jpg</v>
      </c>
    </row>
    <row r="3803" spans="1:13" x14ac:dyDescent="0.25">
      <c r="A3803" t="s">
        <v>4084</v>
      </c>
      <c r="B3803">
        <v>580028</v>
      </c>
      <c r="C3803">
        <v>5761811</v>
      </c>
      <c r="D3803">
        <v>21</v>
      </c>
      <c r="E3803" t="s">
        <v>15</v>
      </c>
      <c r="F3803" t="s">
        <v>9102</v>
      </c>
      <c r="G3803">
        <v>2</v>
      </c>
      <c r="H3803" t="s">
        <v>2916</v>
      </c>
      <c r="I3803" t="s">
        <v>114</v>
      </c>
      <c r="J3803" t="s">
        <v>797</v>
      </c>
      <c r="K3803" t="s">
        <v>20</v>
      </c>
      <c r="L3803" t="s">
        <v>9103</v>
      </c>
      <c r="M3803" s="3" t="str">
        <f>HYPERLINK("..\..\Imagery\ScannedPhotos\1987\VN87-319.2.jpg")</f>
        <v>..\..\Imagery\ScannedPhotos\1987\VN87-319.2.jpg</v>
      </c>
    </row>
    <row r="3804" spans="1:13" x14ac:dyDescent="0.25">
      <c r="A3804" t="s">
        <v>510</v>
      </c>
      <c r="B3804">
        <v>408614</v>
      </c>
      <c r="C3804">
        <v>5852516</v>
      </c>
      <c r="D3804">
        <v>21</v>
      </c>
      <c r="E3804" t="s">
        <v>15</v>
      </c>
      <c r="F3804" t="s">
        <v>9104</v>
      </c>
      <c r="G3804">
        <v>8</v>
      </c>
      <c r="K3804" t="s">
        <v>56</v>
      </c>
      <c r="L3804" t="s">
        <v>9105</v>
      </c>
      <c r="M3804" s="3" t="str">
        <f>HYPERLINK("..\..\Imagery\ScannedPhotos\2007\CG07-023.5.jpg")</f>
        <v>..\..\Imagery\ScannedPhotos\2007\CG07-023.5.jpg</v>
      </c>
    </row>
    <row r="3805" spans="1:13" x14ac:dyDescent="0.25">
      <c r="A3805" t="s">
        <v>9106</v>
      </c>
      <c r="B3805">
        <v>566780</v>
      </c>
      <c r="C3805">
        <v>5826692</v>
      </c>
      <c r="D3805">
        <v>21</v>
      </c>
      <c r="E3805" t="s">
        <v>15</v>
      </c>
      <c r="F3805" t="s">
        <v>9107</v>
      </c>
      <c r="G3805">
        <v>2</v>
      </c>
      <c r="H3805" t="s">
        <v>3303</v>
      </c>
      <c r="I3805" t="s">
        <v>647</v>
      </c>
      <c r="J3805" t="s">
        <v>300</v>
      </c>
      <c r="K3805" t="s">
        <v>20</v>
      </c>
      <c r="L3805" t="s">
        <v>9108</v>
      </c>
      <c r="M3805" s="3" t="str">
        <f>HYPERLINK("..\..\Imagery\ScannedPhotos\1986\SN86-225.1.jpg")</f>
        <v>..\..\Imagery\ScannedPhotos\1986\SN86-225.1.jpg</v>
      </c>
    </row>
    <row r="3806" spans="1:13" x14ac:dyDescent="0.25">
      <c r="A3806" t="s">
        <v>9109</v>
      </c>
      <c r="B3806">
        <v>568148</v>
      </c>
      <c r="C3806">
        <v>5825147</v>
      </c>
      <c r="D3806">
        <v>21</v>
      </c>
      <c r="E3806" t="s">
        <v>15</v>
      </c>
      <c r="F3806" t="s">
        <v>9110</v>
      </c>
      <c r="G3806">
        <v>1</v>
      </c>
      <c r="H3806" t="s">
        <v>3303</v>
      </c>
      <c r="I3806" t="s">
        <v>122</v>
      </c>
      <c r="J3806" t="s">
        <v>300</v>
      </c>
      <c r="K3806" t="s">
        <v>20</v>
      </c>
      <c r="L3806" t="s">
        <v>9111</v>
      </c>
      <c r="M3806" s="3" t="str">
        <f>HYPERLINK("..\..\Imagery\ScannedPhotos\1986\SN86-229.jpg")</f>
        <v>..\..\Imagery\ScannedPhotos\1986\SN86-229.jpg</v>
      </c>
    </row>
    <row r="3807" spans="1:13" x14ac:dyDescent="0.25">
      <c r="A3807" t="s">
        <v>9112</v>
      </c>
      <c r="B3807">
        <v>504446</v>
      </c>
      <c r="C3807">
        <v>5847457</v>
      </c>
      <c r="D3807">
        <v>21</v>
      </c>
      <c r="E3807" t="s">
        <v>15</v>
      </c>
      <c r="F3807" t="s">
        <v>9113</v>
      </c>
      <c r="G3807">
        <v>1</v>
      </c>
      <c r="H3807" t="s">
        <v>3303</v>
      </c>
      <c r="I3807" t="s">
        <v>132</v>
      </c>
      <c r="J3807" t="s">
        <v>300</v>
      </c>
      <c r="K3807" t="s">
        <v>20</v>
      </c>
      <c r="L3807" t="s">
        <v>9114</v>
      </c>
      <c r="M3807" s="3" t="str">
        <f>HYPERLINK("..\..\Imagery\ScannedPhotos\1986\SN86-232.jpg")</f>
        <v>..\..\Imagery\ScannedPhotos\1986\SN86-232.jpg</v>
      </c>
    </row>
    <row r="3808" spans="1:13" x14ac:dyDescent="0.25">
      <c r="A3808" t="s">
        <v>6334</v>
      </c>
      <c r="B3808">
        <v>502906</v>
      </c>
      <c r="C3808">
        <v>5842752</v>
      </c>
      <c r="D3808">
        <v>21</v>
      </c>
      <c r="E3808" t="s">
        <v>15</v>
      </c>
      <c r="F3808" t="s">
        <v>9115</v>
      </c>
      <c r="G3808">
        <v>3</v>
      </c>
      <c r="H3808" t="s">
        <v>3303</v>
      </c>
      <c r="I3808" t="s">
        <v>147</v>
      </c>
      <c r="J3808" t="s">
        <v>300</v>
      </c>
      <c r="K3808" t="s">
        <v>56</v>
      </c>
      <c r="L3808" t="s">
        <v>6336</v>
      </c>
      <c r="M3808" s="3" t="str">
        <f>HYPERLINK("..\..\Imagery\ScannedPhotos\1986\SN86-239.3.jpg")</f>
        <v>..\..\Imagery\ScannedPhotos\1986\SN86-239.3.jpg</v>
      </c>
    </row>
    <row r="3809" spans="1:13" x14ac:dyDescent="0.25">
      <c r="A3809" t="s">
        <v>6334</v>
      </c>
      <c r="B3809">
        <v>502906</v>
      </c>
      <c r="C3809">
        <v>5842752</v>
      </c>
      <c r="D3809">
        <v>21</v>
      </c>
      <c r="E3809" t="s">
        <v>15</v>
      </c>
      <c r="F3809" t="s">
        <v>9116</v>
      </c>
      <c r="G3809">
        <v>3</v>
      </c>
      <c r="H3809" t="s">
        <v>3303</v>
      </c>
      <c r="I3809" t="s">
        <v>143</v>
      </c>
      <c r="J3809" t="s">
        <v>300</v>
      </c>
      <c r="K3809" t="s">
        <v>20</v>
      </c>
      <c r="L3809" t="s">
        <v>6336</v>
      </c>
      <c r="M3809" s="3" t="str">
        <f>HYPERLINK("..\..\Imagery\ScannedPhotos\1986\SN86-239.2.jpg")</f>
        <v>..\..\Imagery\ScannedPhotos\1986\SN86-239.2.jpg</v>
      </c>
    </row>
    <row r="3810" spans="1:13" x14ac:dyDescent="0.25">
      <c r="A3810" t="s">
        <v>9117</v>
      </c>
      <c r="B3810">
        <v>343243</v>
      </c>
      <c r="C3810">
        <v>5812334</v>
      </c>
      <c r="D3810">
        <v>21</v>
      </c>
      <c r="E3810" t="s">
        <v>15</v>
      </c>
      <c r="F3810" t="s">
        <v>9118</v>
      </c>
      <c r="G3810">
        <v>7</v>
      </c>
      <c r="H3810" t="s">
        <v>2236</v>
      </c>
      <c r="I3810" t="s">
        <v>52</v>
      </c>
      <c r="J3810" t="s">
        <v>80</v>
      </c>
      <c r="K3810" t="s">
        <v>20</v>
      </c>
      <c r="L3810" t="s">
        <v>9119</v>
      </c>
      <c r="M3810" s="3" t="str">
        <f>HYPERLINK("..\..\Imagery\ScannedPhotos\2000\CG00-319.5.jpg")</f>
        <v>..\..\Imagery\ScannedPhotos\2000\CG00-319.5.jpg</v>
      </c>
    </row>
    <row r="3811" spans="1:13" x14ac:dyDescent="0.25">
      <c r="A3811" t="s">
        <v>9117</v>
      </c>
      <c r="B3811">
        <v>343243</v>
      </c>
      <c r="C3811">
        <v>5812334</v>
      </c>
      <c r="D3811">
        <v>21</v>
      </c>
      <c r="E3811" t="s">
        <v>15</v>
      </c>
      <c r="F3811" t="s">
        <v>9120</v>
      </c>
      <c r="G3811">
        <v>7</v>
      </c>
      <c r="H3811" t="s">
        <v>2236</v>
      </c>
      <c r="I3811" t="s">
        <v>65</v>
      </c>
      <c r="J3811" t="s">
        <v>80</v>
      </c>
      <c r="K3811" t="s">
        <v>20</v>
      </c>
      <c r="L3811" t="s">
        <v>9121</v>
      </c>
      <c r="M3811" s="3" t="str">
        <f>HYPERLINK("..\..\Imagery\ScannedPhotos\2000\CG00-319.6.jpg")</f>
        <v>..\..\Imagery\ScannedPhotos\2000\CG00-319.6.jpg</v>
      </c>
    </row>
    <row r="3812" spans="1:13" x14ac:dyDescent="0.25">
      <c r="A3812" t="s">
        <v>9122</v>
      </c>
      <c r="B3812">
        <v>461000</v>
      </c>
      <c r="C3812">
        <v>5903750</v>
      </c>
      <c r="D3812">
        <v>21</v>
      </c>
      <c r="E3812" t="s">
        <v>15</v>
      </c>
      <c r="F3812" t="s">
        <v>9123</v>
      </c>
      <c r="G3812">
        <v>1</v>
      </c>
      <c r="H3812" t="s">
        <v>4524</v>
      </c>
      <c r="I3812" t="s">
        <v>35</v>
      </c>
      <c r="J3812" t="s">
        <v>3309</v>
      </c>
      <c r="K3812" t="s">
        <v>228</v>
      </c>
      <c r="L3812" t="s">
        <v>9124</v>
      </c>
      <c r="M3812" s="3" t="str">
        <f>HYPERLINK("..\..\Imagery\ScannedPhotos\1984\CG84-187.2.jpg")</f>
        <v>..\..\Imagery\ScannedPhotos\1984\CG84-187.2.jpg</v>
      </c>
    </row>
    <row r="3813" spans="1:13" x14ac:dyDescent="0.25">
      <c r="A3813" t="s">
        <v>9125</v>
      </c>
      <c r="B3813">
        <v>449257</v>
      </c>
      <c r="C3813">
        <v>5896099</v>
      </c>
      <c r="D3813">
        <v>21</v>
      </c>
      <c r="E3813" t="s">
        <v>15</v>
      </c>
      <c r="F3813" t="s">
        <v>9126</v>
      </c>
      <c r="G3813">
        <v>2</v>
      </c>
      <c r="H3813" t="s">
        <v>3982</v>
      </c>
      <c r="I3813" t="s">
        <v>25</v>
      </c>
      <c r="J3813" t="s">
        <v>2247</v>
      </c>
      <c r="K3813" t="s">
        <v>56</v>
      </c>
      <c r="L3813" t="s">
        <v>9127</v>
      </c>
      <c r="M3813" s="3" t="str">
        <f>HYPERLINK("..\..\Imagery\ScannedPhotos\1984\NN84-307.1.jpg")</f>
        <v>..\..\Imagery\ScannedPhotos\1984\NN84-307.1.jpg</v>
      </c>
    </row>
    <row r="3814" spans="1:13" x14ac:dyDescent="0.25">
      <c r="A3814" t="s">
        <v>9125</v>
      </c>
      <c r="B3814">
        <v>449257</v>
      </c>
      <c r="C3814">
        <v>5896099</v>
      </c>
      <c r="D3814">
        <v>21</v>
      </c>
      <c r="E3814" t="s">
        <v>15</v>
      </c>
      <c r="F3814" t="s">
        <v>9128</v>
      </c>
      <c r="G3814">
        <v>2</v>
      </c>
      <c r="H3814" t="s">
        <v>3982</v>
      </c>
      <c r="I3814" t="s">
        <v>360</v>
      </c>
      <c r="J3814" t="s">
        <v>2247</v>
      </c>
      <c r="K3814" t="s">
        <v>20</v>
      </c>
      <c r="L3814" t="s">
        <v>9129</v>
      </c>
      <c r="M3814" s="3" t="str">
        <f>HYPERLINK("..\..\Imagery\ScannedPhotos\1984\NN84-307.2.jpg")</f>
        <v>..\..\Imagery\ScannedPhotos\1984\NN84-307.2.jpg</v>
      </c>
    </row>
    <row r="3815" spans="1:13" x14ac:dyDescent="0.25">
      <c r="A3815" t="s">
        <v>9130</v>
      </c>
      <c r="B3815">
        <v>544607</v>
      </c>
      <c r="C3815">
        <v>5840455</v>
      </c>
      <c r="D3815">
        <v>21</v>
      </c>
      <c r="E3815" t="s">
        <v>15</v>
      </c>
      <c r="F3815" t="s">
        <v>9131</v>
      </c>
      <c r="G3815">
        <v>9</v>
      </c>
      <c r="H3815" t="s">
        <v>2945</v>
      </c>
      <c r="I3815" t="s">
        <v>35</v>
      </c>
      <c r="J3815" t="s">
        <v>300</v>
      </c>
      <c r="K3815" t="s">
        <v>56</v>
      </c>
      <c r="L3815" t="s">
        <v>9132</v>
      </c>
      <c r="M3815" s="3" t="str">
        <f>HYPERLINK("..\..\Imagery\ScannedPhotos\1986\CG86-490.5.jpg")</f>
        <v>..\..\Imagery\ScannedPhotos\1986\CG86-490.5.jpg</v>
      </c>
    </row>
    <row r="3816" spans="1:13" x14ac:dyDescent="0.25">
      <c r="A3816" t="s">
        <v>9130</v>
      </c>
      <c r="B3816">
        <v>544607</v>
      </c>
      <c r="C3816">
        <v>5840455</v>
      </c>
      <c r="D3816">
        <v>21</v>
      </c>
      <c r="E3816" t="s">
        <v>15</v>
      </c>
      <c r="F3816" t="s">
        <v>9133</v>
      </c>
      <c r="G3816">
        <v>9</v>
      </c>
      <c r="H3816" t="s">
        <v>2945</v>
      </c>
      <c r="I3816" t="s">
        <v>137</v>
      </c>
      <c r="J3816" t="s">
        <v>300</v>
      </c>
      <c r="K3816" t="s">
        <v>56</v>
      </c>
      <c r="L3816" t="s">
        <v>9132</v>
      </c>
      <c r="M3816" s="3" t="str">
        <f>HYPERLINK("..\..\Imagery\ScannedPhotos\1986\CG86-490.3.jpg")</f>
        <v>..\..\Imagery\ScannedPhotos\1986\CG86-490.3.jpg</v>
      </c>
    </row>
    <row r="3817" spans="1:13" x14ac:dyDescent="0.25">
      <c r="A3817" t="s">
        <v>9130</v>
      </c>
      <c r="B3817">
        <v>544607</v>
      </c>
      <c r="C3817">
        <v>5840455</v>
      </c>
      <c r="D3817">
        <v>21</v>
      </c>
      <c r="E3817" t="s">
        <v>15</v>
      </c>
      <c r="F3817" t="s">
        <v>9134</v>
      </c>
      <c r="G3817">
        <v>9</v>
      </c>
      <c r="H3817" t="s">
        <v>2945</v>
      </c>
      <c r="I3817" t="s">
        <v>281</v>
      </c>
      <c r="J3817" t="s">
        <v>300</v>
      </c>
      <c r="K3817" t="s">
        <v>228</v>
      </c>
      <c r="L3817" t="s">
        <v>9135</v>
      </c>
      <c r="M3817" s="3" t="str">
        <f>HYPERLINK("..\..\Imagery\ScannedPhotos\1986\CG86-490.2.jpg")</f>
        <v>..\..\Imagery\ScannedPhotos\1986\CG86-490.2.jpg</v>
      </c>
    </row>
    <row r="3818" spans="1:13" x14ac:dyDescent="0.25">
      <c r="A3818" t="s">
        <v>9136</v>
      </c>
      <c r="B3818">
        <v>492696</v>
      </c>
      <c r="C3818">
        <v>5882325</v>
      </c>
      <c r="D3818">
        <v>21</v>
      </c>
      <c r="E3818" t="s">
        <v>15</v>
      </c>
      <c r="F3818" t="s">
        <v>9137</v>
      </c>
      <c r="G3818">
        <v>2</v>
      </c>
      <c r="H3818" t="s">
        <v>2912</v>
      </c>
      <c r="I3818" t="s">
        <v>119</v>
      </c>
      <c r="J3818" t="s">
        <v>2913</v>
      </c>
      <c r="K3818" t="s">
        <v>20</v>
      </c>
      <c r="L3818" t="s">
        <v>9138</v>
      </c>
      <c r="M3818" s="3" t="str">
        <f>HYPERLINK("..\..\Imagery\ScannedPhotos\1984\VN84-217.2.jpg")</f>
        <v>..\..\Imagery\ScannedPhotos\1984\VN84-217.2.jpg</v>
      </c>
    </row>
    <row r="3819" spans="1:13" x14ac:dyDescent="0.25">
      <c r="A3819" t="s">
        <v>9136</v>
      </c>
      <c r="B3819">
        <v>492696</v>
      </c>
      <c r="C3819">
        <v>5882325</v>
      </c>
      <c r="D3819">
        <v>21</v>
      </c>
      <c r="E3819" t="s">
        <v>15</v>
      </c>
      <c r="F3819" t="s">
        <v>9139</v>
      </c>
      <c r="G3819">
        <v>2</v>
      </c>
      <c r="H3819" t="s">
        <v>2912</v>
      </c>
      <c r="I3819" t="s">
        <v>114</v>
      </c>
      <c r="J3819" t="s">
        <v>2913</v>
      </c>
      <c r="K3819" t="s">
        <v>20</v>
      </c>
      <c r="L3819" t="s">
        <v>9138</v>
      </c>
      <c r="M3819" s="3" t="str">
        <f>HYPERLINK("..\..\Imagery\ScannedPhotos\1984\VN84-217.1.jpg")</f>
        <v>..\..\Imagery\ScannedPhotos\1984\VN84-217.1.jpg</v>
      </c>
    </row>
    <row r="3820" spans="1:13" x14ac:dyDescent="0.25">
      <c r="A3820" t="s">
        <v>9140</v>
      </c>
      <c r="B3820">
        <v>494265</v>
      </c>
      <c r="C3820">
        <v>5882723</v>
      </c>
      <c r="D3820">
        <v>21</v>
      </c>
      <c r="E3820" t="s">
        <v>15</v>
      </c>
      <c r="F3820" t="s">
        <v>9141</v>
      </c>
      <c r="G3820">
        <v>1</v>
      </c>
      <c r="H3820" t="s">
        <v>2912</v>
      </c>
      <c r="I3820" t="s">
        <v>122</v>
      </c>
      <c r="J3820" t="s">
        <v>2913</v>
      </c>
      <c r="K3820" t="s">
        <v>20</v>
      </c>
      <c r="L3820" t="s">
        <v>9138</v>
      </c>
      <c r="M3820" s="3" t="str">
        <f>HYPERLINK("..\..\Imagery\ScannedPhotos\1984\VN84-222.jpg")</f>
        <v>..\..\Imagery\ScannedPhotos\1984\VN84-222.jpg</v>
      </c>
    </row>
    <row r="3821" spans="1:13" x14ac:dyDescent="0.25">
      <c r="A3821" t="s">
        <v>919</v>
      </c>
      <c r="B3821">
        <v>443989</v>
      </c>
      <c r="C3821">
        <v>5763744</v>
      </c>
      <c r="D3821">
        <v>21</v>
      </c>
      <c r="E3821" t="s">
        <v>15</v>
      </c>
      <c r="F3821" t="s">
        <v>9142</v>
      </c>
      <c r="G3821">
        <v>9</v>
      </c>
      <c r="H3821" t="s">
        <v>1107</v>
      </c>
      <c r="I3821" t="s">
        <v>401</v>
      </c>
      <c r="J3821" t="s">
        <v>747</v>
      </c>
      <c r="K3821" t="s">
        <v>56</v>
      </c>
      <c r="L3821" t="s">
        <v>2488</v>
      </c>
      <c r="M3821" s="3" t="str">
        <f>HYPERLINK("..\..\Imagery\ScannedPhotos\1992\CG92-163.4.jpg")</f>
        <v>..\..\Imagery\ScannedPhotos\1992\CG92-163.4.jpg</v>
      </c>
    </row>
    <row r="3822" spans="1:13" x14ac:dyDescent="0.25">
      <c r="A3822" t="s">
        <v>9143</v>
      </c>
      <c r="B3822">
        <v>490109</v>
      </c>
      <c r="C3822">
        <v>5939747</v>
      </c>
      <c r="D3822">
        <v>21</v>
      </c>
      <c r="E3822" t="s">
        <v>15</v>
      </c>
      <c r="F3822" t="s">
        <v>9144</v>
      </c>
      <c r="G3822">
        <v>2</v>
      </c>
      <c r="H3822" t="s">
        <v>142</v>
      </c>
      <c r="I3822" t="s">
        <v>214</v>
      </c>
      <c r="J3822" t="s">
        <v>144</v>
      </c>
      <c r="K3822" t="s">
        <v>20</v>
      </c>
      <c r="L3822" t="s">
        <v>9145</v>
      </c>
      <c r="M3822" s="3" t="str">
        <f>HYPERLINK("..\..\Imagery\ScannedPhotos\1977\MC77-012.1.jpg")</f>
        <v>..\..\Imagery\ScannedPhotos\1977\MC77-012.1.jpg</v>
      </c>
    </row>
    <row r="3823" spans="1:13" x14ac:dyDescent="0.25">
      <c r="A3823" t="s">
        <v>9146</v>
      </c>
      <c r="B3823">
        <v>430833</v>
      </c>
      <c r="C3823">
        <v>5813722</v>
      </c>
      <c r="D3823">
        <v>21</v>
      </c>
      <c r="E3823" t="s">
        <v>15</v>
      </c>
      <c r="F3823" t="s">
        <v>9147</v>
      </c>
      <c r="G3823">
        <v>10</v>
      </c>
      <c r="H3823" t="s">
        <v>656</v>
      </c>
      <c r="I3823" t="s">
        <v>647</v>
      </c>
      <c r="J3823" t="s">
        <v>657</v>
      </c>
      <c r="K3823" t="s">
        <v>228</v>
      </c>
      <c r="L3823" t="s">
        <v>9148</v>
      </c>
      <c r="M3823" s="3" t="str">
        <f>HYPERLINK("..\..\Imagery\ScannedPhotos\1999\CG99-014.2.jpg")</f>
        <v>..\..\Imagery\ScannedPhotos\1999\CG99-014.2.jpg</v>
      </c>
    </row>
    <row r="3824" spans="1:13" x14ac:dyDescent="0.25">
      <c r="A3824" t="s">
        <v>9149</v>
      </c>
      <c r="B3824">
        <v>428268</v>
      </c>
      <c r="C3824">
        <v>5771391</v>
      </c>
      <c r="D3824">
        <v>21</v>
      </c>
      <c r="E3824" t="s">
        <v>15</v>
      </c>
      <c r="F3824" t="s">
        <v>9150</v>
      </c>
      <c r="G3824">
        <v>1</v>
      </c>
      <c r="H3824" t="s">
        <v>738</v>
      </c>
      <c r="I3824" t="s">
        <v>69</v>
      </c>
      <c r="J3824" t="s">
        <v>739</v>
      </c>
      <c r="K3824" t="s">
        <v>56</v>
      </c>
      <c r="L3824" t="s">
        <v>9151</v>
      </c>
      <c r="M3824" s="3" t="str">
        <f>HYPERLINK("..\..\Imagery\ScannedPhotos\1999\CG99-026.jpg")</f>
        <v>..\..\Imagery\ScannedPhotos\1999\CG99-026.jpg</v>
      </c>
    </row>
    <row r="3825" spans="1:13" x14ac:dyDescent="0.25">
      <c r="A3825" t="s">
        <v>9152</v>
      </c>
      <c r="B3825">
        <v>496811</v>
      </c>
      <c r="C3825">
        <v>5817400</v>
      </c>
      <c r="D3825">
        <v>21</v>
      </c>
      <c r="E3825" t="s">
        <v>15</v>
      </c>
      <c r="F3825" t="s">
        <v>9153</v>
      </c>
      <c r="G3825">
        <v>3</v>
      </c>
      <c r="H3825" t="s">
        <v>1044</v>
      </c>
      <c r="I3825" t="s">
        <v>126</v>
      </c>
      <c r="J3825" t="s">
        <v>42</v>
      </c>
      <c r="K3825" t="s">
        <v>20</v>
      </c>
      <c r="L3825" t="s">
        <v>9154</v>
      </c>
      <c r="M3825" s="3" t="str">
        <f>HYPERLINK("..\..\Imagery\ScannedPhotos\1991\VN91-040.1.jpg")</f>
        <v>..\..\Imagery\ScannedPhotos\1991\VN91-040.1.jpg</v>
      </c>
    </row>
    <row r="3826" spans="1:13" x14ac:dyDescent="0.25">
      <c r="A3826" t="s">
        <v>9152</v>
      </c>
      <c r="B3826">
        <v>496811</v>
      </c>
      <c r="C3826">
        <v>5817400</v>
      </c>
      <c r="D3826">
        <v>21</v>
      </c>
      <c r="E3826" t="s">
        <v>15</v>
      </c>
      <c r="F3826" t="s">
        <v>9155</v>
      </c>
      <c r="G3826">
        <v>3</v>
      </c>
      <c r="H3826" t="s">
        <v>1044</v>
      </c>
      <c r="I3826" t="s">
        <v>129</v>
      </c>
      <c r="J3826" t="s">
        <v>42</v>
      </c>
      <c r="K3826" t="s">
        <v>56</v>
      </c>
      <c r="L3826" t="s">
        <v>9156</v>
      </c>
      <c r="M3826" s="3" t="str">
        <f>HYPERLINK("..\..\Imagery\ScannedPhotos\1991\VN91-040.3.jpg")</f>
        <v>..\..\Imagery\ScannedPhotos\1991\VN91-040.3.jpg</v>
      </c>
    </row>
    <row r="3827" spans="1:13" x14ac:dyDescent="0.25">
      <c r="A3827" t="s">
        <v>9152</v>
      </c>
      <c r="B3827">
        <v>496811</v>
      </c>
      <c r="C3827">
        <v>5817400</v>
      </c>
      <c r="D3827">
        <v>21</v>
      </c>
      <c r="E3827" t="s">
        <v>15</v>
      </c>
      <c r="F3827" t="s">
        <v>9157</v>
      </c>
      <c r="G3827">
        <v>3</v>
      </c>
      <c r="H3827" t="s">
        <v>1044</v>
      </c>
      <c r="I3827" t="s">
        <v>132</v>
      </c>
      <c r="J3827" t="s">
        <v>42</v>
      </c>
      <c r="K3827" t="s">
        <v>56</v>
      </c>
      <c r="L3827" t="s">
        <v>9156</v>
      </c>
      <c r="M3827" s="3" t="str">
        <f>HYPERLINK("..\..\Imagery\ScannedPhotos\1991\VN91-040.2.jpg")</f>
        <v>..\..\Imagery\ScannedPhotos\1991\VN91-040.2.jpg</v>
      </c>
    </row>
    <row r="3828" spans="1:13" x14ac:dyDescent="0.25">
      <c r="A3828" t="s">
        <v>9158</v>
      </c>
      <c r="B3828">
        <v>449547</v>
      </c>
      <c r="C3828">
        <v>5897462</v>
      </c>
      <c r="D3828">
        <v>21</v>
      </c>
      <c r="E3828" t="s">
        <v>15</v>
      </c>
      <c r="F3828" t="s">
        <v>9159</v>
      </c>
      <c r="G3828">
        <v>3</v>
      </c>
      <c r="H3828" t="s">
        <v>5461</v>
      </c>
      <c r="I3828" t="s">
        <v>35</v>
      </c>
      <c r="J3828" t="s">
        <v>2247</v>
      </c>
      <c r="K3828" t="s">
        <v>20</v>
      </c>
      <c r="L3828" t="s">
        <v>9160</v>
      </c>
      <c r="M3828" s="3" t="str">
        <f>HYPERLINK("..\..\Imagery\ScannedPhotos\1984\NN84-296.3.jpg")</f>
        <v>..\..\Imagery\ScannedPhotos\1984\NN84-296.3.jpg</v>
      </c>
    </row>
    <row r="3829" spans="1:13" x14ac:dyDescent="0.25">
      <c r="A3829" t="s">
        <v>9161</v>
      </c>
      <c r="B3829">
        <v>508183</v>
      </c>
      <c r="C3829">
        <v>5953415</v>
      </c>
      <c r="D3829">
        <v>21</v>
      </c>
      <c r="E3829" t="s">
        <v>15</v>
      </c>
      <c r="F3829" t="s">
        <v>9162</v>
      </c>
      <c r="G3829">
        <v>2</v>
      </c>
      <c r="H3829" t="s">
        <v>3587</v>
      </c>
      <c r="I3829" t="s">
        <v>214</v>
      </c>
      <c r="J3829" t="s">
        <v>3588</v>
      </c>
      <c r="K3829" t="s">
        <v>20</v>
      </c>
      <c r="L3829" t="s">
        <v>1020</v>
      </c>
      <c r="M3829" s="3" t="str">
        <f>HYPERLINK("..\..\Imagery\ScannedPhotos\1977\MC77-253.2.jpg")</f>
        <v>..\..\Imagery\ScannedPhotos\1977\MC77-253.2.jpg</v>
      </c>
    </row>
    <row r="3830" spans="1:13" x14ac:dyDescent="0.25">
      <c r="A3830" t="s">
        <v>7329</v>
      </c>
      <c r="B3830">
        <v>438658</v>
      </c>
      <c r="C3830">
        <v>5926723</v>
      </c>
      <c r="D3830">
        <v>21</v>
      </c>
      <c r="E3830" t="s">
        <v>15</v>
      </c>
      <c r="F3830" t="s">
        <v>9163</v>
      </c>
      <c r="G3830">
        <v>2</v>
      </c>
      <c r="H3830" t="s">
        <v>5461</v>
      </c>
      <c r="I3830" t="s">
        <v>418</v>
      </c>
      <c r="J3830" t="s">
        <v>2247</v>
      </c>
      <c r="K3830" t="s">
        <v>20</v>
      </c>
      <c r="L3830" t="s">
        <v>9164</v>
      </c>
      <c r="M3830" s="3" t="str">
        <f>HYPERLINK("..\..\Imagery\ScannedPhotos\1984\NN84-326.2.jpg")</f>
        <v>..\..\Imagery\ScannedPhotos\1984\NN84-326.2.jpg</v>
      </c>
    </row>
    <row r="3831" spans="1:13" x14ac:dyDescent="0.25">
      <c r="A3831" t="s">
        <v>9165</v>
      </c>
      <c r="B3831">
        <v>447536</v>
      </c>
      <c r="C3831">
        <v>5912893</v>
      </c>
      <c r="D3831">
        <v>21</v>
      </c>
      <c r="E3831" t="s">
        <v>15</v>
      </c>
      <c r="F3831" t="s">
        <v>9166</v>
      </c>
      <c r="G3831">
        <v>3</v>
      </c>
      <c r="H3831" t="s">
        <v>5461</v>
      </c>
      <c r="I3831" t="s">
        <v>304</v>
      </c>
      <c r="J3831" t="s">
        <v>2247</v>
      </c>
      <c r="K3831" t="s">
        <v>20</v>
      </c>
      <c r="L3831" t="s">
        <v>9167</v>
      </c>
      <c r="M3831" s="3" t="str">
        <f>HYPERLINK("..\..\Imagery\ScannedPhotos\1984\NN84-372.1.jpg")</f>
        <v>..\..\Imagery\ScannedPhotos\1984\NN84-372.1.jpg</v>
      </c>
    </row>
    <row r="3832" spans="1:13" x14ac:dyDescent="0.25">
      <c r="A3832" t="s">
        <v>9165</v>
      </c>
      <c r="B3832">
        <v>447536</v>
      </c>
      <c r="C3832">
        <v>5912893</v>
      </c>
      <c r="D3832">
        <v>21</v>
      </c>
      <c r="E3832" t="s">
        <v>15</v>
      </c>
      <c r="F3832" t="s">
        <v>9168</v>
      </c>
      <c r="G3832">
        <v>3</v>
      </c>
      <c r="H3832" t="s">
        <v>5461</v>
      </c>
      <c r="I3832" t="s">
        <v>195</v>
      </c>
      <c r="J3832" t="s">
        <v>2247</v>
      </c>
      <c r="K3832" t="s">
        <v>56</v>
      </c>
      <c r="L3832" t="s">
        <v>9169</v>
      </c>
      <c r="M3832" s="3" t="str">
        <f>HYPERLINK("..\..\Imagery\ScannedPhotos\1984\NN84-372.2.jpg")</f>
        <v>..\..\Imagery\ScannedPhotos\1984\NN84-372.2.jpg</v>
      </c>
    </row>
    <row r="3833" spans="1:13" x14ac:dyDescent="0.25">
      <c r="A3833" t="s">
        <v>9165</v>
      </c>
      <c r="B3833">
        <v>447536</v>
      </c>
      <c r="C3833">
        <v>5912893</v>
      </c>
      <c r="D3833">
        <v>21</v>
      </c>
      <c r="E3833" t="s">
        <v>15</v>
      </c>
      <c r="F3833" t="s">
        <v>9170</v>
      </c>
      <c r="G3833">
        <v>3</v>
      </c>
      <c r="H3833" t="s">
        <v>5461</v>
      </c>
      <c r="I3833" t="s">
        <v>25</v>
      </c>
      <c r="J3833" t="s">
        <v>2247</v>
      </c>
      <c r="K3833" t="s">
        <v>56</v>
      </c>
      <c r="L3833" t="s">
        <v>9169</v>
      </c>
      <c r="M3833" s="3" t="str">
        <f>HYPERLINK("..\..\Imagery\ScannedPhotos\1984\NN84-372.3.jpg")</f>
        <v>..\..\Imagery\ScannedPhotos\1984\NN84-372.3.jpg</v>
      </c>
    </row>
    <row r="3834" spans="1:13" x14ac:dyDescent="0.25">
      <c r="A3834" t="s">
        <v>5459</v>
      </c>
      <c r="B3834">
        <v>448045</v>
      </c>
      <c r="C3834">
        <v>5913595</v>
      </c>
      <c r="D3834">
        <v>21</v>
      </c>
      <c r="E3834" t="s">
        <v>15</v>
      </c>
      <c r="F3834" t="s">
        <v>9171</v>
      </c>
      <c r="G3834">
        <v>3</v>
      </c>
      <c r="H3834" t="s">
        <v>5461</v>
      </c>
      <c r="I3834" t="s">
        <v>401</v>
      </c>
      <c r="J3834" t="s">
        <v>2247</v>
      </c>
      <c r="K3834" t="s">
        <v>20</v>
      </c>
      <c r="L3834" t="s">
        <v>5462</v>
      </c>
      <c r="M3834" s="3" t="str">
        <f>HYPERLINK("..\..\Imagery\ScannedPhotos\1984\NN84-375.3.jpg")</f>
        <v>..\..\Imagery\ScannedPhotos\1984\NN84-375.3.jpg</v>
      </c>
    </row>
    <row r="3835" spans="1:13" x14ac:dyDescent="0.25">
      <c r="A3835" t="s">
        <v>5459</v>
      </c>
      <c r="B3835">
        <v>448045</v>
      </c>
      <c r="C3835">
        <v>5913595</v>
      </c>
      <c r="D3835">
        <v>21</v>
      </c>
      <c r="E3835" t="s">
        <v>15</v>
      </c>
      <c r="F3835" t="s">
        <v>9172</v>
      </c>
      <c r="G3835">
        <v>3</v>
      </c>
      <c r="H3835" t="s">
        <v>5461</v>
      </c>
      <c r="I3835" t="s">
        <v>30</v>
      </c>
      <c r="J3835" t="s">
        <v>2247</v>
      </c>
      <c r="K3835" t="s">
        <v>20</v>
      </c>
      <c r="L3835" t="s">
        <v>5462</v>
      </c>
      <c r="M3835" s="3" t="str">
        <f>HYPERLINK("..\..\Imagery\ScannedPhotos\1984\NN84-375.1.jpg")</f>
        <v>..\..\Imagery\ScannedPhotos\1984\NN84-375.1.jpg</v>
      </c>
    </row>
    <row r="3836" spans="1:13" x14ac:dyDescent="0.25">
      <c r="A3836" t="s">
        <v>9173</v>
      </c>
      <c r="B3836">
        <v>495441</v>
      </c>
      <c r="C3836">
        <v>5907199</v>
      </c>
      <c r="D3836">
        <v>21</v>
      </c>
      <c r="E3836" t="s">
        <v>15</v>
      </c>
      <c r="F3836" t="s">
        <v>9174</v>
      </c>
      <c r="G3836">
        <v>1</v>
      </c>
      <c r="H3836" t="s">
        <v>4058</v>
      </c>
      <c r="I3836" t="s">
        <v>137</v>
      </c>
      <c r="J3836" t="s">
        <v>2247</v>
      </c>
      <c r="K3836" t="s">
        <v>20</v>
      </c>
      <c r="L3836" t="s">
        <v>2996</v>
      </c>
      <c r="M3836" s="3" t="str">
        <f>HYPERLINK("..\..\Imagery\ScannedPhotos\1984\VN84-310.jpg")</f>
        <v>..\..\Imagery\ScannedPhotos\1984\VN84-310.jpg</v>
      </c>
    </row>
    <row r="3837" spans="1:13" x14ac:dyDescent="0.25">
      <c r="A3837" t="s">
        <v>9175</v>
      </c>
      <c r="B3837">
        <v>324912</v>
      </c>
      <c r="C3837">
        <v>5817692</v>
      </c>
      <c r="D3837">
        <v>21</v>
      </c>
      <c r="E3837" t="s">
        <v>15</v>
      </c>
      <c r="F3837" t="s">
        <v>9176</v>
      </c>
      <c r="G3837">
        <v>2</v>
      </c>
      <c r="H3837" t="s">
        <v>2236</v>
      </c>
      <c r="I3837" t="s">
        <v>304</v>
      </c>
      <c r="J3837" t="s">
        <v>80</v>
      </c>
      <c r="K3837" t="s">
        <v>20</v>
      </c>
      <c r="L3837" t="s">
        <v>4646</v>
      </c>
      <c r="M3837" s="3" t="str">
        <f>HYPERLINK("..\..\Imagery\ScannedPhotos\2000\CG00-271.2.jpg")</f>
        <v>..\..\Imagery\ScannedPhotos\2000\CG00-271.2.jpg</v>
      </c>
    </row>
    <row r="3838" spans="1:13" x14ac:dyDescent="0.25">
      <c r="A3838" t="s">
        <v>9177</v>
      </c>
      <c r="B3838">
        <v>326552</v>
      </c>
      <c r="C3838">
        <v>5818470</v>
      </c>
      <c r="D3838">
        <v>21</v>
      </c>
      <c r="E3838" t="s">
        <v>15</v>
      </c>
      <c r="F3838" t="s">
        <v>9178</v>
      </c>
      <c r="G3838">
        <v>4</v>
      </c>
      <c r="H3838" t="s">
        <v>2236</v>
      </c>
      <c r="I3838" t="s">
        <v>195</v>
      </c>
      <c r="J3838" t="s">
        <v>80</v>
      </c>
      <c r="K3838" t="s">
        <v>20</v>
      </c>
      <c r="L3838" t="s">
        <v>9179</v>
      </c>
      <c r="M3838" s="3" t="str">
        <f>HYPERLINK("..\..\Imagery\ScannedPhotos\2000\CG00-272.1.jpg")</f>
        <v>..\..\Imagery\ScannedPhotos\2000\CG00-272.1.jpg</v>
      </c>
    </row>
    <row r="3839" spans="1:13" x14ac:dyDescent="0.25">
      <c r="A3839" t="s">
        <v>4923</v>
      </c>
      <c r="B3839">
        <v>471478</v>
      </c>
      <c r="C3839">
        <v>5866759</v>
      </c>
      <c r="D3839">
        <v>21</v>
      </c>
      <c r="E3839" t="s">
        <v>15</v>
      </c>
      <c r="F3839" t="s">
        <v>9180</v>
      </c>
      <c r="G3839">
        <v>6</v>
      </c>
      <c r="H3839" t="s">
        <v>4733</v>
      </c>
      <c r="I3839" t="s">
        <v>79</v>
      </c>
      <c r="J3839" t="s">
        <v>4734</v>
      </c>
      <c r="K3839" t="s">
        <v>20</v>
      </c>
      <c r="L3839" t="s">
        <v>6402</v>
      </c>
      <c r="M3839" s="3" t="str">
        <f>HYPERLINK("..\..\Imagery\ScannedPhotos\1991\DD91-110.4.jpg")</f>
        <v>..\..\Imagery\ScannedPhotos\1991\DD91-110.4.jpg</v>
      </c>
    </row>
    <row r="3840" spans="1:13" x14ac:dyDescent="0.25">
      <c r="A3840" t="s">
        <v>4923</v>
      </c>
      <c r="B3840">
        <v>471478</v>
      </c>
      <c r="C3840">
        <v>5866759</v>
      </c>
      <c r="D3840">
        <v>21</v>
      </c>
      <c r="E3840" t="s">
        <v>15</v>
      </c>
      <c r="F3840" t="s">
        <v>9181</v>
      </c>
      <c r="G3840">
        <v>6</v>
      </c>
      <c r="H3840" t="s">
        <v>1048</v>
      </c>
      <c r="I3840" t="s">
        <v>281</v>
      </c>
      <c r="J3840" t="s">
        <v>1038</v>
      </c>
      <c r="K3840" t="s">
        <v>20</v>
      </c>
      <c r="L3840" t="s">
        <v>9182</v>
      </c>
      <c r="M3840" s="3" t="str">
        <f>HYPERLINK("..\..\Imagery\ScannedPhotos\1991\DD91-110.1.jpg")</f>
        <v>..\..\Imagery\ScannedPhotos\1991\DD91-110.1.jpg</v>
      </c>
    </row>
    <row r="3841" spans="1:13" x14ac:dyDescent="0.25">
      <c r="A3841" t="s">
        <v>4923</v>
      </c>
      <c r="B3841">
        <v>471478</v>
      </c>
      <c r="C3841">
        <v>5866759</v>
      </c>
      <c r="D3841">
        <v>21</v>
      </c>
      <c r="E3841" t="s">
        <v>15</v>
      </c>
      <c r="F3841" t="s">
        <v>9183</v>
      </c>
      <c r="G3841">
        <v>6</v>
      </c>
      <c r="H3841" t="s">
        <v>4733</v>
      </c>
      <c r="I3841" t="s">
        <v>137</v>
      </c>
      <c r="J3841" t="s">
        <v>4734</v>
      </c>
      <c r="K3841" t="s">
        <v>56</v>
      </c>
      <c r="L3841" t="s">
        <v>6402</v>
      </c>
      <c r="M3841" s="3" t="str">
        <f>HYPERLINK("..\..\Imagery\ScannedPhotos\1991\DD91-110.6.jpg")</f>
        <v>..\..\Imagery\ScannedPhotos\1991\DD91-110.6.jpg</v>
      </c>
    </row>
    <row r="3842" spans="1:13" x14ac:dyDescent="0.25">
      <c r="A3842" t="s">
        <v>4923</v>
      </c>
      <c r="B3842">
        <v>471478</v>
      </c>
      <c r="C3842">
        <v>5866759</v>
      </c>
      <c r="D3842">
        <v>21</v>
      </c>
      <c r="E3842" t="s">
        <v>15</v>
      </c>
      <c r="F3842" t="s">
        <v>9184</v>
      </c>
      <c r="G3842">
        <v>6</v>
      </c>
      <c r="H3842" t="s">
        <v>4733</v>
      </c>
      <c r="I3842" t="s">
        <v>281</v>
      </c>
      <c r="J3842" t="s">
        <v>4734</v>
      </c>
      <c r="K3842" t="s">
        <v>20</v>
      </c>
      <c r="L3842" t="s">
        <v>6402</v>
      </c>
      <c r="M3842" s="3" t="str">
        <f>HYPERLINK("..\..\Imagery\ScannedPhotos\1991\DD91-110.5.jpg")</f>
        <v>..\..\Imagery\ScannedPhotos\1991\DD91-110.5.jpg</v>
      </c>
    </row>
    <row r="3843" spans="1:13" x14ac:dyDescent="0.25">
      <c r="A3843" t="s">
        <v>9185</v>
      </c>
      <c r="B3843">
        <v>548600</v>
      </c>
      <c r="C3843">
        <v>5953470</v>
      </c>
      <c r="D3843">
        <v>21</v>
      </c>
      <c r="E3843" t="s">
        <v>15</v>
      </c>
      <c r="F3843" t="s">
        <v>9186</v>
      </c>
      <c r="G3843">
        <v>2</v>
      </c>
      <c r="H3843" t="s">
        <v>221</v>
      </c>
      <c r="I3843" t="s">
        <v>79</v>
      </c>
      <c r="J3843" t="s">
        <v>48</v>
      </c>
      <c r="K3843" t="s">
        <v>935</v>
      </c>
      <c r="L3843" t="s">
        <v>9187</v>
      </c>
      <c r="M3843" s="3" t="str">
        <f>HYPERLINK("..\..\Imagery\ScannedPhotos\1981\CG81-310.1.jpg")</f>
        <v>..\..\Imagery\ScannedPhotos\1981\CG81-310.1.jpg</v>
      </c>
    </row>
    <row r="3844" spans="1:13" x14ac:dyDescent="0.25">
      <c r="A3844" t="s">
        <v>9185</v>
      </c>
      <c r="B3844">
        <v>548600</v>
      </c>
      <c r="C3844">
        <v>5953470</v>
      </c>
      <c r="D3844">
        <v>21</v>
      </c>
      <c r="E3844" t="s">
        <v>15</v>
      </c>
      <c r="F3844" t="s">
        <v>9188</v>
      </c>
      <c r="G3844">
        <v>2</v>
      </c>
      <c r="H3844" t="s">
        <v>221</v>
      </c>
      <c r="I3844" t="s">
        <v>294</v>
      </c>
      <c r="J3844" t="s">
        <v>48</v>
      </c>
      <c r="K3844" t="s">
        <v>228</v>
      </c>
      <c r="L3844" t="s">
        <v>9189</v>
      </c>
      <c r="M3844" s="3" t="str">
        <f>HYPERLINK("..\..\Imagery\ScannedPhotos\1981\CG81-310.2.jpg")</f>
        <v>..\..\Imagery\ScannedPhotos\1981\CG81-310.2.jpg</v>
      </c>
    </row>
    <row r="3845" spans="1:13" x14ac:dyDescent="0.25">
      <c r="A3845" t="s">
        <v>9190</v>
      </c>
      <c r="B3845">
        <v>545040</v>
      </c>
      <c r="C3845">
        <v>5955327</v>
      </c>
      <c r="D3845">
        <v>21</v>
      </c>
      <c r="E3845" t="s">
        <v>15</v>
      </c>
      <c r="F3845" t="s">
        <v>9191</v>
      </c>
      <c r="G3845">
        <v>1</v>
      </c>
      <c r="H3845" t="s">
        <v>221</v>
      </c>
      <c r="I3845" t="s">
        <v>281</v>
      </c>
      <c r="J3845" t="s">
        <v>48</v>
      </c>
      <c r="K3845" t="s">
        <v>20</v>
      </c>
      <c r="L3845" t="s">
        <v>733</v>
      </c>
      <c r="M3845" s="3" t="str">
        <f>HYPERLINK("..\..\Imagery\ScannedPhotos\1981\CG81-312.jpg")</f>
        <v>..\..\Imagery\ScannedPhotos\1981\CG81-312.jpg</v>
      </c>
    </row>
    <row r="3846" spans="1:13" x14ac:dyDescent="0.25">
      <c r="A3846" t="s">
        <v>7345</v>
      </c>
      <c r="B3846">
        <v>583842</v>
      </c>
      <c r="C3846">
        <v>5832514</v>
      </c>
      <c r="D3846">
        <v>21</v>
      </c>
      <c r="E3846" t="s">
        <v>15</v>
      </c>
      <c r="F3846" t="s">
        <v>9192</v>
      </c>
      <c r="G3846">
        <v>3</v>
      </c>
      <c r="H3846" t="s">
        <v>1750</v>
      </c>
      <c r="I3846" t="s">
        <v>65</v>
      </c>
      <c r="J3846" t="s">
        <v>1751</v>
      </c>
      <c r="K3846" t="s">
        <v>20</v>
      </c>
      <c r="L3846" t="s">
        <v>838</v>
      </c>
      <c r="M3846" s="3" t="str">
        <f>HYPERLINK("..\..\Imagery\ScannedPhotos\1986\JS86-460.1.jpg")</f>
        <v>..\..\Imagery\ScannedPhotos\1986\JS86-460.1.jpg</v>
      </c>
    </row>
    <row r="3847" spans="1:13" x14ac:dyDescent="0.25">
      <c r="A3847" t="s">
        <v>1857</v>
      </c>
      <c r="B3847">
        <v>580357</v>
      </c>
      <c r="C3847">
        <v>5900486</v>
      </c>
      <c r="D3847">
        <v>21</v>
      </c>
      <c r="E3847" t="s">
        <v>15</v>
      </c>
      <c r="F3847" t="s">
        <v>9193</v>
      </c>
      <c r="G3847">
        <v>3</v>
      </c>
      <c r="H3847" t="s">
        <v>136</v>
      </c>
      <c r="I3847" t="s">
        <v>25</v>
      </c>
      <c r="J3847" t="s">
        <v>138</v>
      </c>
      <c r="K3847" t="s">
        <v>20</v>
      </c>
      <c r="L3847" t="s">
        <v>1859</v>
      </c>
      <c r="M3847" s="3" t="str">
        <f>HYPERLINK("..\..\Imagery\ScannedPhotos\1985\GM85-547.2.jpg")</f>
        <v>..\..\Imagery\ScannedPhotos\1985\GM85-547.2.jpg</v>
      </c>
    </row>
    <row r="3848" spans="1:13" x14ac:dyDescent="0.25">
      <c r="A3848" t="s">
        <v>6019</v>
      </c>
      <c r="B3848">
        <v>580312</v>
      </c>
      <c r="C3848">
        <v>5900130</v>
      </c>
      <c r="D3848">
        <v>21</v>
      </c>
      <c r="E3848" t="s">
        <v>15</v>
      </c>
      <c r="F3848" t="s">
        <v>9194</v>
      </c>
      <c r="G3848">
        <v>3</v>
      </c>
      <c r="H3848" t="s">
        <v>136</v>
      </c>
      <c r="I3848" t="s">
        <v>114</v>
      </c>
      <c r="J3848" t="s">
        <v>138</v>
      </c>
      <c r="K3848" t="s">
        <v>20</v>
      </c>
      <c r="L3848" t="s">
        <v>9195</v>
      </c>
      <c r="M3848" s="3" t="str">
        <f>HYPERLINK("..\..\Imagery\ScannedPhotos\1985\GM85-548.3.jpg")</f>
        <v>..\..\Imagery\ScannedPhotos\1985\GM85-548.3.jpg</v>
      </c>
    </row>
    <row r="3849" spans="1:13" x14ac:dyDescent="0.25">
      <c r="A3849" t="s">
        <v>4865</v>
      </c>
      <c r="B3849">
        <v>506859</v>
      </c>
      <c r="C3849">
        <v>5953950</v>
      </c>
      <c r="D3849">
        <v>21</v>
      </c>
      <c r="E3849" t="s">
        <v>15</v>
      </c>
      <c r="F3849" t="s">
        <v>9196</v>
      </c>
      <c r="G3849">
        <v>3</v>
      </c>
      <c r="H3849" t="s">
        <v>3587</v>
      </c>
      <c r="I3849" t="s">
        <v>74</v>
      </c>
      <c r="J3849" t="s">
        <v>3588</v>
      </c>
      <c r="K3849" t="s">
        <v>20</v>
      </c>
      <c r="L3849" t="s">
        <v>9197</v>
      </c>
      <c r="M3849" s="3" t="str">
        <f>HYPERLINK("..\..\Imagery\ScannedPhotos\1977\MC77-247.2.jpg")</f>
        <v>..\..\Imagery\ScannedPhotos\1977\MC77-247.2.jpg</v>
      </c>
    </row>
    <row r="3850" spans="1:13" x14ac:dyDescent="0.25">
      <c r="A3850" t="s">
        <v>9198</v>
      </c>
      <c r="B3850">
        <v>476236</v>
      </c>
      <c r="C3850">
        <v>5792075</v>
      </c>
      <c r="D3850">
        <v>21</v>
      </c>
      <c r="E3850" t="s">
        <v>15</v>
      </c>
      <c r="F3850" t="s">
        <v>9199</v>
      </c>
      <c r="G3850">
        <v>5</v>
      </c>
      <c r="H3850" t="s">
        <v>813</v>
      </c>
      <c r="I3850" t="s">
        <v>52</v>
      </c>
      <c r="J3850" t="s">
        <v>814</v>
      </c>
      <c r="K3850" t="s">
        <v>56</v>
      </c>
      <c r="L3850" t="s">
        <v>9200</v>
      </c>
      <c r="M3850" s="3" t="str">
        <f>HYPERLINK("..\..\Imagery\ScannedPhotos\1992\CG92-053.1.jpg")</f>
        <v>..\..\Imagery\ScannedPhotos\1992\CG92-053.1.jpg</v>
      </c>
    </row>
    <row r="3851" spans="1:13" x14ac:dyDescent="0.25">
      <c r="A3851" t="s">
        <v>8957</v>
      </c>
      <c r="B3851">
        <v>488467</v>
      </c>
      <c r="C3851">
        <v>5952126</v>
      </c>
      <c r="D3851">
        <v>21</v>
      </c>
      <c r="E3851" t="s">
        <v>15</v>
      </c>
      <c r="F3851" t="s">
        <v>9201</v>
      </c>
      <c r="G3851">
        <v>3</v>
      </c>
      <c r="H3851" t="s">
        <v>1964</v>
      </c>
      <c r="I3851" t="s">
        <v>30</v>
      </c>
      <c r="J3851" t="s">
        <v>1965</v>
      </c>
      <c r="K3851" t="s">
        <v>20</v>
      </c>
      <c r="L3851" t="s">
        <v>9202</v>
      </c>
      <c r="M3851" s="3" t="str">
        <f>HYPERLINK("..\..\Imagery\ScannedPhotos\1977\MC77-232.3.jpg")</f>
        <v>..\..\Imagery\ScannedPhotos\1977\MC77-232.3.jpg</v>
      </c>
    </row>
    <row r="3852" spans="1:13" x14ac:dyDescent="0.25">
      <c r="A3852" t="s">
        <v>8957</v>
      </c>
      <c r="B3852">
        <v>488467</v>
      </c>
      <c r="C3852">
        <v>5952126</v>
      </c>
      <c r="D3852">
        <v>21</v>
      </c>
      <c r="E3852" t="s">
        <v>15</v>
      </c>
      <c r="F3852" t="s">
        <v>9203</v>
      </c>
      <c r="G3852">
        <v>3</v>
      </c>
      <c r="H3852" t="s">
        <v>1964</v>
      </c>
      <c r="I3852" t="s">
        <v>647</v>
      </c>
      <c r="J3852" t="s">
        <v>1965</v>
      </c>
      <c r="K3852" t="s">
        <v>20</v>
      </c>
      <c r="L3852" t="s">
        <v>3743</v>
      </c>
      <c r="M3852" s="3" t="str">
        <f>HYPERLINK("..\..\Imagery\ScannedPhotos\1977\MC77-232.2.jpg")</f>
        <v>..\..\Imagery\ScannedPhotos\1977\MC77-232.2.jpg</v>
      </c>
    </row>
    <row r="3853" spans="1:13" x14ac:dyDescent="0.25">
      <c r="A3853" t="s">
        <v>9204</v>
      </c>
      <c r="B3853">
        <v>492674</v>
      </c>
      <c r="C3853">
        <v>5967409</v>
      </c>
      <c r="D3853">
        <v>21</v>
      </c>
      <c r="E3853" t="s">
        <v>15</v>
      </c>
      <c r="F3853" t="s">
        <v>9205</v>
      </c>
      <c r="G3853">
        <v>2</v>
      </c>
      <c r="H3853" t="s">
        <v>1964</v>
      </c>
      <c r="I3853" t="s">
        <v>119</v>
      </c>
      <c r="J3853" t="s">
        <v>1965</v>
      </c>
      <c r="K3853" t="s">
        <v>20</v>
      </c>
      <c r="L3853" t="s">
        <v>9206</v>
      </c>
      <c r="M3853" s="3" t="str">
        <f>HYPERLINK("..\..\Imagery\ScannedPhotos\1977\MC77-235.2.jpg")</f>
        <v>..\..\Imagery\ScannedPhotos\1977\MC77-235.2.jpg</v>
      </c>
    </row>
    <row r="3854" spans="1:13" x14ac:dyDescent="0.25">
      <c r="A3854" t="s">
        <v>9204</v>
      </c>
      <c r="B3854">
        <v>492674</v>
      </c>
      <c r="C3854">
        <v>5967409</v>
      </c>
      <c r="D3854">
        <v>21</v>
      </c>
      <c r="E3854" t="s">
        <v>15</v>
      </c>
      <c r="F3854" t="s">
        <v>9207</v>
      </c>
      <c r="G3854">
        <v>2</v>
      </c>
      <c r="H3854" t="s">
        <v>1964</v>
      </c>
      <c r="I3854" t="s">
        <v>114</v>
      </c>
      <c r="J3854" t="s">
        <v>1965</v>
      </c>
      <c r="K3854" t="s">
        <v>20</v>
      </c>
      <c r="L3854" t="s">
        <v>642</v>
      </c>
      <c r="M3854" s="3" t="str">
        <f>HYPERLINK("..\..\Imagery\ScannedPhotos\1977\MC77-235.1.jpg")</f>
        <v>..\..\Imagery\ScannedPhotos\1977\MC77-235.1.jpg</v>
      </c>
    </row>
    <row r="3855" spans="1:13" x14ac:dyDescent="0.25">
      <c r="A3855" t="s">
        <v>1854</v>
      </c>
      <c r="B3855">
        <v>328058</v>
      </c>
      <c r="C3855">
        <v>6005701</v>
      </c>
      <c r="D3855">
        <v>21</v>
      </c>
      <c r="E3855" t="s">
        <v>15</v>
      </c>
      <c r="F3855" t="s">
        <v>9208</v>
      </c>
      <c r="G3855">
        <v>6</v>
      </c>
      <c r="H3855" t="s">
        <v>268</v>
      </c>
      <c r="I3855" t="s">
        <v>18</v>
      </c>
      <c r="J3855" t="s">
        <v>269</v>
      </c>
      <c r="K3855" t="s">
        <v>20</v>
      </c>
      <c r="L3855" t="s">
        <v>1856</v>
      </c>
      <c r="M3855" s="3" t="str">
        <f>HYPERLINK("..\..\Imagery\ScannedPhotos\1983\CG83-345.6.jpg")</f>
        <v>..\..\Imagery\ScannedPhotos\1983\CG83-345.6.jpg</v>
      </c>
    </row>
    <row r="3856" spans="1:13" x14ac:dyDescent="0.25">
      <c r="A3856" t="s">
        <v>5078</v>
      </c>
      <c r="B3856">
        <v>486317</v>
      </c>
      <c r="C3856">
        <v>5826987</v>
      </c>
      <c r="D3856">
        <v>21</v>
      </c>
      <c r="E3856" t="s">
        <v>15</v>
      </c>
      <c r="F3856" t="s">
        <v>9209</v>
      </c>
      <c r="G3856">
        <v>2</v>
      </c>
      <c r="H3856" t="s">
        <v>2789</v>
      </c>
      <c r="I3856" t="s">
        <v>209</v>
      </c>
      <c r="J3856" t="s">
        <v>413</v>
      </c>
      <c r="K3856" t="s">
        <v>20</v>
      </c>
      <c r="L3856" t="s">
        <v>5080</v>
      </c>
      <c r="M3856" s="3" t="str">
        <f>HYPERLINK("..\..\Imagery\ScannedPhotos\1991\VN91-134.1.jpg")</f>
        <v>..\..\Imagery\ScannedPhotos\1991\VN91-134.1.jpg</v>
      </c>
    </row>
    <row r="3857" spans="1:13" x14ac:dyDescent="0.25">
      <c r="A3857" t="s">
        <v>9210</v>
      </c>
      <c r="B3857">
        <v>486217</v>
      </c>
      <c r="C3857">
        <v>5826887</v>
      </c>
      <c r="D3857">
        <v>21</v>
      </c>
      <c r="E3857" t="s">
        <v>15</v>
      </c>
      <c r="F3857" t="s">
        <v>9211</v>
      </c>
      <c r="G3857">
        <v>2</v>
      </c>
      <c r="H3857" t="s">
        <v>2789</v>
      </c>
      <c r="I3857" t="s">
        <v>217</v>
      </c>
      <c r="J3857" t="s">
        <v>413</v>
      </c>
      <c r="K3857" t="s">
        <v>56</v>
      </c>
      <c r="L3857" t="s">
        <v>9212</v>
      </c>
      <c r="M3857" s="3" t="str">
        <f>HYPERLINK("..\..\Imagery\ScannedPhotos\1991\VN91-135.1.jpg")</f>
        <v>..\..\Imagery\ScannedPhotos\1991\VN91-135.1.jpg</v>
      </c>
    </row>
    <row r="3858" spans="1:13" x14ac:dyDescent="0.25">
      <c r="A3858" t="s">
        <v>9210</v>
      </c>
      <c r="B3858">
        <v>486217</v>
      </c>
      <c r="C3858">
        <v>5826887</v>
      </c>
      <c r="D3858">
        <v>21</v>
      </c>
      <c r="E3858" t="s">
        <v>15</v>
      </c>
      <c r="F3858" t="s">
        <v>9213</v>
      </c>
      <c r="G3858">
        <v>2</v>
      </c>
      <c r="H3858" t="s">
        <v>2789</v>
      </c>
      <c r="I3858" t="s">
        <v>214</v>
      </c>
      <c r="J3858" t="s">
        <v>413</v>
      </c>
      <c r="K3858" t="s">
        <v>56</v>
      </c>
      <c r="L3858" t="s">
        <v>9212</v>
      </c>
      <c r="M3858" s="3" t="str">
        <f>HYPERLINK("..\..\Imagery\ScannedPhotos\1991\VN91-135.2.jpg")</f>
        <v>..\..\Imagery\ScannedPhotos\1991\VN91-135.2.jpg</v>
      </c>
    </row>
    <row r="3859" spans="1:13" x14ac:dyDescent="0.25">
      <c r="A3859" t="s">
        <v>9214</v>
      </c>
      <c r="B3859">
        <v>534006</v>
      </c>
      <c r="C3859">
        <v>5867691</v>
      </c>
      <c r="D3859">
        <v>21</v>
      </c>
      <c r="E3859" t="s">
        <v>15</v>
      </c>
      <c r="F3859" t="s">
        <v>9215</v>
      </c>
      <c r="G3859">
        <v>1</v>
      </c>
      <c r="H3859" t="s">
        <v>656</v>
      </c>
      <c r="I3859" t="s">
        <v>65</v>
      </c>
      <c r="J3859" t="s">
        <v>657</v>
      </c>
      <c r="K3859" t="s">
        <v>535</v>
      </c>
      <c r="L3859" t="s">
        <v>9216</v>
      </c>
      <c r="M3859" s="3" t="str">
        <f>HYPERLINK("..\..\Imagery\ScannedPhotos\1986\SN86-091.jpg")</f>
        <v>..\..\Imagery\ScannedPhotos\1986\SN86-091.jpg</v>
      </c>
    </row>
    <row r="3860" spans="1:13" x14ac:dyDescent="0.25">
      <c r="A3860" t="s">
        <v>856</v>
      </c>
      <c r="B3860">
        <v>490542</v>
      </c>
      <c r="C3860">
        <v>5855198</v>
      </c>
      <c r="D3860">
        <v>21</v>
      </c>
      <c r="E3860" t="s">
        <v>15</v>
      </c>
      <c r="F3860" t="s">
        <v>9217</v>
      </c>
      <c r="G3860">
        <v>7</v>
      </c>
      <c r="H3860" t="s">
        <v>849</v>
      </c>
      <c r="I3860" t="s">
        <v>209</v>
      </c>
      <c r="J3860" t="s">
        <v>850</v>
      </c>
      <c r="K3860" t="s">
        <v>20</v>
      </c>
      <c r="L3860" t="s">
        <v>858</v>
      </c>
      <c r="M3860" s="3" t="str">
        <f>HYPERLINK("..\..\Imagery\ScannedPhotos\1991\VN91-180.3.jpg")</f>
        <v>..\..\Imagery\ScannedPhotos\1991\VN91-180.3.jpg</v>
      </c>
    </row>
    <row r="3861" spans="1:13" x14ac:dyDescent="0.25">
      <c r="A3861" t="s">
        <v>9218</v>
      </c>
      <c r="B3861">
        <v>509820</v>
      </c>
      <c r="C3861">
        <v>5863086</v>
      </c>
      <c r="D3861">
        <v>21</v>
      </c>
      <c r="E3861" t="s">
        <v>15</v>
      </c>
      <c r="F3861" t="s">
        <v>9219</v>
      </c>
      <c r="G3861">
        <v>5</v>
      </c>
      <c r="H3861" t="s">
        <v>656</v>
      </c>
      <c r="I3861" t="s">
        <v>18</v>
      </c>
      <c r="J3861" t="s">
        <v>657</v>
      </c>
      <c r="K3861" t="s">
        <v>20</v>
      </c>
      <c r="L3861" t="s">
        <v>9220</v>
      </c>
      <c r="M3861" s="3" t="str">
        <f>HYPERLINK("..\..\Imagery\ScannedPhotos\1986\MN86-051.4.jpg")</f>
        <v>..\..\Imagery\ScannedPhotos\1986\MN86-051.4.jpg</v>
      </c>
    </row>
    <row r="3862" spans="1:13" x14ac:dyDescent="0.25">
      <c r="A3862" t="s">
        <v>9218</v>
      </c>
      <c r="B3862">
        <v>509820</v>
      </c>
      <c r="C3862">
        <v>5863086</v>
      </c>
      <c r="D3862">
        <v>21</v>
      </c>
      <c r="E3862" t="s">
        <v>15</v>
      </c>
      <c r="F3862" t="s">
        <v>9221</v>
      </c>
      <c r="G3862">
        <v>5</v>
      </c>
      <c r="H3862" t="s">
        <v>656</v>
      </c>
      <c r="I3862" t="s">
        <v>137</v>
      </c>
      <c r="J3862" t="s">
        <v>657</v>
      </c>
      <c r="K3862" t="s">
        <v>20</v>
      </c>
      <c r="L3862" t="s">
        <v>9220</v>
      </c>
      <c r="M3862" s="3" t="str">
        <f>HYPERLINK("..\..\Imagery\ScannedPhotos\1986\MN86-051.3.jpg")</f>
        <v>..\..\Imagery\ScannedPhotos\1986\MN86-051.3.jpg</v>
      </c>
    </row>
    <row r="3863" spans="1:13" x14ac:dyDescent="0.25">
      <c r="A3863" t="s">
        <v>9218</v>
      </c>
      <c r="B3863">
        <v>509820</v>
      </c>
      <c r="C3863">
        <v>5863086</v>
      </c>
      <c r="D3863">
        <v>21</v>
      </c>
      <c r="E3863" t="s">
        <v>15</v>
      </c>
      <c r="F3863" t="s">
        <v>9222</v>
      </c>
      <c r="G3863">
        <v>5</v>
      </c>
      <c r="H3863" t="s">
        <v>656</v>
      </c>
      <c r="I3863" t="s">
        <v>281</v>
      </c>
      <c r="J3863" t="s">
        <v>657</v>
      </c>
      <c r="K3863" t="s">
        <v>20</v>
      </c>
      <c r="L3863" t="s">
        <v>9220</v>
      </c>
      <c r="M3863" s="3" t="str">
        <f>HYPERLINK("..\..\Imagery\ScannedPhotos\1986\MN86-051.2.jpg")</f>
        <v>..\..\Imagery\ScannedPhotos\1986\MN86-051.2.jpg</v>
      </c>
    </row>
    <row r="3864" spans="1:13" x14ac:dyDescent="0.25">
      <c r="A3864" t="s">
        <v>9223</v>
      </c>
      <c r="B3864">
        <v>568517</v>
      </c>
      <c r="C3864">
        <v>5934527</v>
      </c>
      <c r="D3864">
        <v>21</v>
      </c>
      <c r="E3864" t="s">
        <v>15</v>
      </c>
      <c r="F3864" t="s">
        <v>9224</v>
      </c>
      <c r="G3864">
        <v>1</v>
      </c>
      <c r="H3864" t="s">
        <v>2687</v>
      </c>
      <c r="I3864" t="s">
        <v>30</v>
      </c>
      <c r="J3864" t="s">
        <v>1463</v>
      </c>
      <c r="K3864" t="s">
        <v>20</v>
      </c>
      <c r="L3864" t="s">
        <v>6739</v>
      </c>
      <c r="M3864" s="3" t="str">
        <f>HYPERLINK("..\..\Imagery\ScannedPhotos\1985\VN85-633.jpg")</f>
        <v>..\..\Imagery\ScannedPhotos\1985\VN85-633.jpg</v>
      </c>
    </row>
    <row r="3865" spans="1:13" x14ac:dyDescent="0.25">
      <c r="A3865" t="s">
        <v>9225</v>
      </c>
      <c r="B3865">
        <v>446366</v>
      </c>
      <c r="C3865">
        <v>5880173</v>
      </c>
      <c r="D3865">
        <v>21</v>
      </c>
      <c r="E3865" t="s">
        <v>15</v>
      </c>
      <c r="F3865" t="s">
        <v>9226</v>
      </c>
      <c r="G3865">
        <v>1</v>
      </c>
      <c r="H3865" t="s">
        <v>2895</v>
      </c>
      <c r="I3865" t="s">
        <v>85</v>
      </c>
      <c r="J3865" t="s">
        <v>2896</v>
      </c>
      <c r="K3865" t="s">
        <v>20</v>
      </c>
      <c r="L3865" t="s">
        <v>9227</v>
      </c>
      <c r="M3865" s="3" t="str">
        <f>HYPERLINK("..\..\Imagery\ScannedPhotos\1984\CG84-327.jpg")</f>
        <v>..\..\Imagery\ScannedPhotos\1984\CG84-327.jpg</v>
      </c>
    </row>
    <row r="3866" spans="1:13" x14ac:dyDescent="0.25">
      <c r="A3866" t="s">
        <v>9228</v>
      </c>
      <c r="B3866">
        <v>445408</v>
      </c>
      <c r="C3866">
        <v>5880344</v>
      </c>
      <c r="D3866">
        <v>21</v>
      </c>
      <c r="E3866" t="s">
        <v>15</v>
      </c>
      <c r="F3866" t="s">
        <v>9229</v>
      </c>
      <c r="G3866">
        <v>1</v>
      </c>
      <c r="H3866" t="s">
        <v>2895</v>
      </c>
      <c r="I3866" t="s">
        <v>375</v>
      </c>
      <c r="J3866" t="s">
        <v>2896</v>
      </c>
      <c r="K3866" t="s">
        <v>20</v>
      </c>
      <c r="L3866" t="s">
        <v>9230</v>
      </c>
      <c r="M3866" s="3" t="str">
        <f>HYPERLINK("..\..\Imagery\ScannedPhotos\1984\CG84-328.jpg")</f>
        <v>..\..\Imagery\ScannedPhotos\1984\CG84-328.jpg</v>
      </c>
    </row>
    <row r="3867" spans="1:13" x14ac:dyDescent="0.25">
      <c r="A3867" t="s">
        <v>2893</v>
      </c>
      <c r="B3867">
        <v>476758</v>
      </c>
      <c r="C3867">
        <v>5872658</v>
      </c>
      <c r="D3867">
        <v>21</v>
      </c>
      <c r="E3867" t="s">
        <v>15</v>
      </c>
      <c r="F3867" t="s">
        <v>9231</v>
      </c>
      <c r="G3867">
        <v>2</v>
      </c>
      <c r="H3867" t="s">
        <v>2895</v>
      </c>
      <c r="I3867" t="s">
        <v>94</v>
      </c>
      <c r="J3867" t="s">
        <v>2896</v>
      </c>
      <c r="K3867" t="s">
        <v>20</v>
      </c>
      <c r="L3867" t="s">
        <v>9232</v>
      </c>
      <c r="M3867" s="3" t="str">
        <f>HYPERLINK("..\..\Imagery\ScannedPhotos\1984\CG84-342.1.jpg")</f>
        <v>..\..\Imagery\ScannedPhotos\1984\CG84-342.1.jpg</v>
      </c>
    </row>
    <row r="3868" spans="1:13" x14ac:dyDescent="0.25">
      <c r="A3868" t="s">
        <v>9233</v>
      </c>
      <c r="B3868">
        <v>575465</v>
      </c>
      <c r="C3868">
        <v>5837842</v>
      </c>
      <c r="D3868">
        <v>21</v>
      </c>
      <c r="E3868" t="s">
        <v>15</v>
      </c>
      <c r="F3868" t="s">
        <v>9234</v>
      </c>
      <c r="G3868">
        <v>2</v>
      </c>
      <c r="H3868" t="s">
        <v>1851</v>
      </c>
      <c r="I3868" t="s">
        <v>47</v>
      </c>
      <c r="J3868" t="s">
        <v>1852</v>
      </c>
      <c r="K3868" t="s">
        <v>20</v>
      </c>
      <c r="L3868" t="s">
        <v>9235</v>
      </c>
      <c r="M3868" s="3" t="str">
        <f>HYPERLINK("..\..\Imagery\ScannedPhotos\1986\MN86-349.1.jpg")</f>
        <v>..\..\Imagery\ScannedPhotos\1986\MN86-349.1.jpg</v>
      </c>
    </row>
    <row r="3869" spans="1:13" x14ac:dyDescent="0.25">
      <c r="A3869" t="s">
        <v>9233</v>
      </c>
      <c r="B3869">
        <v>575465</v>
      </c>
      <c r="C3869">
        <v>5837842</v>
      </c>
      <c r="D3869">
        <v>21</v>
      </c>
      <c r="E3869" t="s">
        <v>15</v>
      </c>
      <c r="F3869" t="s">
        <v>9236</v>
      </c>
      <c r="G3869">
        <v>2</v>
      </c>
      <c r="H3869" t="s">
        <v>1851</v>
      </c>
      <c r="I3869" t="s">
        <v>52</v>
      </c>
      <c r="J3869" t="s">
        <v>1852</v>
      </c>
      <c r="K3869" t="s">
        <v>20</v>
      </c>
      <c r="L3869" t="s">
        <v>9237</v>
      </c>
      <c r="M3869" s="3" t="str">
        <f>HYPERLINK("..\..\Imagery\ScannedPhotos\1986\MN86-349.2.jpg")</f>
        <v>..\..\Imagery\ScannedPhotos\1986\MN86-349.2.jpg</v>
      </c>
    </row>
    <row r="3870" spans="1:13" x14ac:dyDescent="0.25">
      <c r="A3870" t="s">
        <v>9238</v>
      </c>
      <c r="B3870">
        <v>547302</v>
      </c>
      <c r="C3870">
        <v>5769612</v>
      </c>
      <c r="D3870">
        <v>21</v>
      </c>
      <c r="E3870" t="s">
        <v>15</v>
      </c>
      <c r="F3870" t="s">
        <v>9239</v>
      </c>
      <c r="G3870">
        <v>2</v>
      </c>
      <c r="H3870" t="s">
        <v>2916</v>
      </c>
      <c r="I3870" t="s">
        <v>35</v>
      </c>
      <c r="J3870" t="s">
        <v>797</v>
      </c>
      <c r="K3870" t="s">
        <v>20</v>
      </c>
      <c r="L3870" t="s">
        <v>2920</v>
      </c>
      <c r="M3870" s="3" t="str">
        <f>HYPERLINK("..\..\Imagery\ScannedPhotos\1987\VN87-237.2.jpg")</f>
        <v>..\..\Imagery\ScannedPhotos\1987\VN87-237.2.jpg</v>
      </c>
    </row>
    <row r="3871" spans="1:13" x14ac:dyDescent="0.25">
      <c r="A3871" t="s">
        <v>9238</v>
      </c>
      <c r="B3871">
        <v>547302</v>
      </c>
      <c r="C3871">
        <v>5769612</v>
      </c>
      <c r="D3871">
        <v>21</v>
      </c>
      <c r="E3871" t="s">
        <v>15</v>
      </c>
      <c r="F3871" t="s">
        <v>9240</v>
      </c>
      <c r="G3871">
        <v>2</v>
      </c>
      <c r="H3871" t="s">
        <v>2916</v>
      </c>
      <c r="I3871" t="s">
        <v>18</v>
      </c>
      <c r="J3871" t="s">
        <v>797</v>
      </c>
      <c r="K3871" t="s">
        <v>20</v>
      </c>
      <c r="L3871" t="s">
        <v>9241</v>
      </c>
      <c r="M3871" s="3" t="str">
        <f>HYPERLINK("..\..\Imagery\ScannedPhotos\1987\VN87-237.1.jpg")</f>
        <v>..\..\Imagery\ScannedPhotos\1987\VN87-237.1.jpg</v>
      </c>
    </row>
    <row r="3872" spans="1:13" x14ac:dyDescent="0.25">
      <c r="A3872" t="s">
        <v>9242</v>
      </c>
      <c r="B3872">
        <v>545507</v>
      </c>
      <c r="C3872">
        <v>5768926</v>
      </c>
      <c r="D3872">
        <v>21</v>
      </c>
      <c r="E3872" t="s">
        <v>15</v>
      </c>
      <c r="F3872" t="s">
        <v>9243</v>
      </c>
      <c r="G3872">
        <v>1</v>
      </c>
      <c r="H3872" t="s">
        <v>2916</v>
      </c>
      <c r="I3872" t="s">
        <v>69</v>
      </c>
      <c r="J3872" t="s">
        <v>797</v>
      </c>
      <c r="K3872" t="s">
        <v>20</v>
      </c>
      <c r="L3872" t="s">
        <v>9244</v>
      </c>
      <c r="M3872" s="3" t="str">
        <f>HYPERLINK("..\..\Imagery\ScannedPhotos\1987\VN87-241.jpg")</f>
        <v>..\..\Imagery\ScannedPhotos\1987\VN87-241.jpg</v>
      </c>
    </row>
    <row r="3873" spans="1:13" x14ac:dyDescent="0.25">
      <c r="A3873" t="s">
        <v>9245</v>
      </c>
      <c r="B3873">
        <v>527687</v>
      </c>
      <c r="C3873">
        <v>5763151</v>
      </c>
      <c r="D3873">
        <v>21</v>
      </c>
      <c r="E3873" t="s">
        <v>15</v>
      </c>
      <c r="F3873" t="s">
        <v>9246</v>
      </c>
      <c r="G3873">
        <v>2</v>
      </c>
      <c r="H3873" t="s">
        <v>2916</v>
      </c>
      <c r="I3873" t="s">
        <v>74</v>
      </c>
      <c r="J3873" t="s">
        <v>797</v>
      </c>
      <c r="K3873" t="s">
        <v>20</v>
      </c>
      <c r="L3873" t="s">
        <v>9247</v>
      </c>
      <c r="M3873" s="3" t="str">
        <f>HYPERLINK("..\..\Imagery\ScannedPhotos\1987\VN87-258.1.jpg")</f>
        <v>..\..\Imagery\ScannedPhotos\1987\VN87-258.1.jpg</v>
      </c>
    </row>
    <row r="3874" spans="1:13" x14ac:dyDescent="0.25">
      <c r="A3874" t="s">
        <v>9245</v>
      </c>
      <c r="B3874">
        <v>527687</v>
      </c>
      <c r="C3874">
        <v>5763151</v>
      </c>
      <c r="D3874">
        <v>21</v>
      </c>
      <c r="E3874" t="s">
        <v>15</v>
      </c>
      <c r="F3874" t="s">
        <v>9248</v>
      </c>
      <c r="G3874">
        <v>2</v>
      </c>
      <c r="H3874" t="s">
        <v>2916</v>
      </c>
      <c r="I3874" t="s">
        <v>41</v>
      </c>
      <c r="J3874" t="s">
        <v>797</v>
      </c>
      <c r="K3874" t="s">
        <v>20</v>
      </c>
      <c r="L3874" t="s">
        <v>9249</v>
      </c>
      <c r="M3874" s="3" t="str">
        <f>HYPERLINK("..\..\Imagery\ScannedPhotos\1987\VN87-258.2.jpg")</f>
        <v>..\..\Imagery\ScannedPhotos\1987\VN87-258.2.jpg</v>
      </c>
    </row>
    <row r="3875" spans="1:13" x14ac:dyDescent="0.25">
      <c r="A3875" t="s">
        <v>6995</v>
      </c>
      <c r="B3875">
        <v>566421</v>
      </c>
      <c r="C3875">
        <v>5767765</v>
      </c>
      <c r="D3875">
        <v>21</v>
      </c>
      <c r="E3875" t="s">
        <v>15</v>
      </c>
      <c r="F3875" t="s">
        <v>9250</v>
      </c>
      <c r="G3875">
        <v>2</v>
      </c>
      <c r="H3875" t="s">
        <v>2916</v>
      </c>
      <c r="I3875" t="s">
        <v>209</v>
      </c>
      <c r="J3875" t="s">
        <v>797</v>
      </c>
      <c r="K3875" t="s">
        <v>20</v>
      </c>
      <c r="L3875" t="s">
        <v>9251</v>
      </c>
      <c r="M3875" s="3" t="str">
        <f>HYPERLINK("..\..\Imagery\ScannedPhotos\1987\VN87-270.1.jpg")</f>
        <v>..\..\Imagery\ScannedPhotos\1987\VN87-270.1.jpg</v>
      </c>
    </row>
    <row r="3876" spans="1:13" x14ac:dyDescent="0.25">
      <c r="A3876" t="s">
        <v>7735</v>
      </c>
      <c r="B3876">
        <v>552345</v>
      </c>
      <c r="C3876">
        <v>5820677</v>
      </c>
      <c r="D3876">
        <v>21</v>
      </c>
      <c r="E3876" t="s">
        <v>15</v>
      </c>
      <c r="F3876" t="s">
        <v>9252</v>
      </c>
      <c r="G3876">
        <v>2</v>
      </c>
      <c r="H3876" t="s">
        <v>2325</v>
      </c>
      <c r="I3876" t="s">
        <v>647</v>
      </c>
      <c r="J3876" t="s">
        <v>2019</v>
      </c>
      <c r="K3876" t="s">
        <v>56</v>
      </c>
      <c r="L3876" t="s">
        <v>9253</v>
      </c>
      <c r="M3876" s="3" t="str">
        <f>HYPERLINK("..\..\Imagery\ScannedPhotos\1986\MN86-063.1.jpg")</f>
        <v>..\..\Imagery\ScannedPhotos\1986\MN86-063.1.jpg</v>
      </c>
    </row>
    <row r="3877" spans="1:13" x14ac:dyDescent="0.25">
      <c r="A3877" t="s">
        <v>9254</v>
      </c>
      <c r="B3877">
        <v>578638</v>
      </c>
      <c r="C3877">
        <v>5820034</v>
      </c>
      <c r="D3877">
        <v>21</v>
      </c>
      <c r="E3877" t="s">
        <v>15</v>
      </c>
      <c r="F3877" t="s">
        <v>9255</v>
      </c>
      <c r="G3877">
        <v>3</v>
      </c>
      <c r="H3877" t="s">
        <v>3201</v>
      </c>
      <c r="I3877" t="s">
        <v>647</v>
      </c>
      <c r="J3877" t="s">
        <v>3202</v>
      </c>
      <c r="K3877" t="s">
        <v>20</v>
      </c>
      <c r="L3877" t="s">
        <v>642</v>
      </c>
      <c r="M3877" s="3" t="str">
        <f>HYPERLINK("..\..\Imagery\ScannedPhotos\1986\SN86-411.1.jpg")</f>
        <v>..\..\Imagery\ScannedPhotos\1986\SN86-411.1.jpg</v>
      </c>
    </row>
    <row r="3878" spans="1:13" x14ac:dyDescent="0.25">
      <c r="A3878" t="s">
        <v>9254</v>
      </c>
      <c r="B3878">
        <v>578638</v>
      </c>
      <c r="C3878">
        <v>5820034</v>
      </c>
      <c r="D3878">
        <v>21</v>
      </c>
      <c r="E3878" t="s">
        <v>15</v>
      </c>
      <c r="F3878" t="s">
        <v>9256</v>
      </c>
      <c r="G3878">
        <v>3</v>
      </c>
      <c r="H3878" t="s">
        <v>3201</v>
      </c>
      <c r="I3878" t="s">
        <v>30</v>
      </c>
      <c r="J3878" t="s">
        <v>3202</v>
      </c>
      <c r="K3878" t="s">
        <v>20</v>
      </c>
      <c r="L3878" t="s">
        <v>642</v>
      </c>
      <c r="M3878" s="3" t="str">
        <f>HYPERLINK("..\..\Imagery\ScannedPhotos\1986\SN86-411.2.jpg")</f>
        <v>..\..\Imagery\ScannedPhotos\1986\SN86-411.2.jpg</v>
      </c>
    </row>
    <row r="3879" spans="1:13" x14ac:dyDescent="0.25">
      <c r="A3879" t="s">
        <v>9254</v>
      </c>
      <c r="B3879">
        <v>578638</v>
      </c>
      <c r="C3879">
        <v>5820034</v>
      </c>
      <c r="D3879">
        <v>21</v>
      </c>
      <c r="E3879" t="s">
        <v>15</v>
      </c>
      <c r="F3879" t="s">
        <v>9257</v>
      </c>
      <c r="G3879">
        <v>3</v>
      </c>
      <c r="H3879" t="s">
        <v>3201</v>
      </c>
      <c r="I3879" t="s">
        <v>114</v>
      </c>
      <c r="J3879" t="s">
        <v>3202</v>
      </c>
      <c r="K3879" t="s">
        <v>20</v>
      </c>
      <c r="L3879" t="s">
        <v>9206</v>
      </c>
      <c r="M3879" s="3" t="str">
        <f>HYPERLINK("..\..\Imagery\ScannedPhotos\1986\SN86-411.3.jpg")</f>
        <v>..\..\Imagery\ScannedPhotos\1986\SN86-411.3.jpg</v>
      </c>
    </row>
    <row r="3880" spans="1:13" x14ac:dyDescent="0.25">
      <c r="A3880" t="s">
        <v>9258</v>
      </c>
      <c r="B3880">
        <v>577716</v>
      </c>
      <c r="C3880">
        <v>5819536</v>
      </c>
      <c r="D3880">
        <v>21</v>
      </c>
      <c r="E3880" t="s">
        <v>15</v>
      </c>
      <c r="F3880" t="s">
        <v>9259</v>
      </c>
      <c r="G3880">
        <v>2</v>
      </c>
      <c r="H3880" t="s">
        <v>3201</v>
      </c>
      <c r="I3880" t="s">
        <v>119</v>
      </c>
      <c r="J3880" t="s">
        <v>3202</v>
      </c>
      <c r="K3880" t="s">
        <v>56</v>
      </c>
      <c r="L3880" t="s">
        <v>9260</v>
      </c>
      <c r="M3880" s="3" t="str">
        <f>HYPERLINK("..\..\Imagery\ScannedPhotos\1986\SN86-412.1.jpg")</f>
        <v>..\..\Imagery\ScannedPhotos\1986\SN86-412.1.jpg</v>
      </c>
    </row>
    <row r="3881" spans="1:13" x14ac:dyDescent="0.25">
      <c r="A3881" t="s">
        <v>9258</v>
      </c>
      <c r="B3881">
        <v>577716</v>
      </c>
      <c r="C3881">
        <v>5819536</v>
      </c>
      <c r="D3881">
        <v>21</v>
      </c>
      <c r="E3881" t="s">
        <v>15</v>
      </c>
      <c r="F3881" t="s">
        <v>9261</v>
      </c>
      <c r="G3881">
        <v>2</v>
      </c>
      <c r="H3881" t="s">
        <v>3201</v>
      </c>
      <c r="I3881" t="s">
        <v>122</v>
      </c>
      <c r="J3881" t="s">
        <v>3202</v>
      </c>
      <c r="K3881" t="s">
        <v>20</v>
      </c>
      <c r="L3881" t="s">
        <v>9260</v>
      </c>
      <c r="M3881" s="3" t="str">
        <f>HYPERLINK("..\..\Imagery\ScannedPhotos\1986\SN86-412.2.jpg")</f>
        <v>..\..\Imagery\ScannedPhotos\1986\SN86-412.2.jpg</v>
      </c>
    </row>
    <row r="3882" spans="1:13" x14ac:dyDescent="0.25">
      <c r="A3882" t="s">
        <v>9262</v>
      </c>
      <c r="B3882">
        <v>576954</v>
      </c>
      <c r="C3882">
        <v>5818637</v>
      </c>
      <c r="D3882">
        <v>21</v>
      </c>
      <c r="E3882" t="s">
        <v>15</v>
      </c>
      <c r="F3882" t="s">
        <v>9263</v>
      </c>
      <c r="G3882">
        <v>1</v>
      </c>
      <c r="H3882" t="s">
        <v>3201</v>
      </c>
      <c r="I3882" t="s">
        <v>126</v>
      </c>
      <c r="J3882" t="s">
        <v>3202</v>
      </c>
      <c r="K3882" t="s">
        <v>20</v>
      </c>
      <c r="L3882" t="s">
        <v>9264</v>
      </c>
      <c r="M3882" s="3" t="str">
        <f>HYPERLINK("..\..\Imagery\ScannedPhotos\1986\SN86-414.jpg")</f>
        <v>..\..\Imagery\ScannedPhotos\1986\SN86-414.jpg</v>
      </c>
    </row>
    <row r="3883" spans="1:13" x14ac:dyDescent="0.25">
      <c r="A3883" t="s">
        <v>9265</v>
      </c>
      <c r="B3883">
        <v>575221</v>
      </c>
      <c r="C3883">
        <v>5820341</v>
      </c>
      <c r="D3883">
        <v>21</v>
      </c>
      <c r="E3883" t="s">
        <v>15</v>
      </c>
      <c r="F3883" t="s">
        <v>9266</v>
      </c>
      <c r="G3883">
        <v>1</v>
      </c>
      <c r="H3883" t="s">
        <v>3201</v>
      </c>
      <c r="I3883" t="s">
        <v>129</v>
      </c>
      <c r="J3883" t="s">
        <v>3202</v>
      </c>
      <c r="K3883" t="s">
        <v>20</v>
      </c>
      <c r="L3883" t="s">
        <v>71</v>
      </c>
      <c r="M3883" s="3" t="str">
        <f>HYPERLINK("..\..\Imagery\ScannedPhotos\1986\SN86-419.jpg")</f>
        <v>..\..\Imagery\ScannedPhotos\1986\SN86-419.jpg</v>
      </c>
    </row>
    <row r="3884" spans="1:13" x14ac:dyDescent="0.25">
      <c r="A3884" t="s">
        <v>9267</v>
      </c>
      <c r="B3884">
        <v>573852</v>
      </c>
      <c r="C3884">
        <v>5822248</v>
      </c>
      <c r="D3884">
        <v>21</v>
      </c>
      <c r="E3884" t="s">
        <v>15</v>
      </c>
      <c r="F3884" t="s">
        <v>9268</v>
      </c>
      <c r="G3884">
        <v>2</v>
      </c>
      <c r="H3884" t="s">
        <v>2291</v>
      </c>
      <c r="I3884" t="s">
        <v>294</v>
      </c>
      <c r="J3884" t="s">
        <v>2292</v>
      </c>
      <c r="K3884" t="s">
        <v>20</v>
      </c>
      <c r="L3884" t="s">
        <v>9269</v>
      </c>
      <c r="M3884" s="3" t="str">
        <f>HYPERLINK("..\..\Imagery\ScannedPhotos\1986\SN86-424.1.jpg")</f>
        <v>..\..\Imagery\ScannedPhotos\1986\SN86-424.1.jpg</v>
      </c>
    </row>
    <row r="3885" spans="1:13" x14ac:dyDescent="0.25">
      <c r="A3885" t="s">
        <v>9267</v>
      </c>
      <c r="B3885">
        <v>573852</v>
      </c>
      <c r="C3885">
        <v>5822248</v>
      </c>
      <c r="D3885">
        <v>21</v>
      </c>
      <c r="E3885" t="s">
        <v>15</v>
      </c>
      <c r="F3885" t="s">
        <v>9270</v>
      </c>
      <c r="G3885">
        <v>2</v>
      </c>
      <c r="H3885" t="s">
        <v>2291</v>
      </c>
      <c r="I3885" t="s">
        <v>79</v>
      </c>
      <c r="J3885" t="s">
        <v>2292</v>
      </c>
      <c r="K3885" t="s">
        <v>20</v>
      </c>
      <c r="L3885" t="s">
        <v>9271</v>
      </c>
      <c r="M3885" s="3" t="str">
        <f>HYPERLINK("..\..\Imagery\ScannedPhotos\1986\SN86-424.2.jpg")</f>
        <v>..\..\Imagery\ScannedPhotos\1986\SN86-424.2.jpg</v>
      </c>
    </row>
    <row r="3886" spans="1:13" x14ac:dyDescent="0.25">
      <c r="A3886" t="s">
        <v>9272</v>
      </c>
      <c r="B3886">
        <v>573139</v>
      </c>
      <c r="C3886">
        <v>5822585</v>
      </c>
      <c r="D3886">
        <v>21</v>
      </c>
      <c r="E3886" t="s">
        <v>15</v>
      </c>
      <c r="F3886" t="s">
        <v>9273</v>
      </c>
      <c r="G3886">
        <v>1</v>
      </c>
      <c r="H3886" t="s">
        <v>2291</v>
      </c>
      <c r="I3886" t="s">
        <v>281</v>
      </c>
      <c r="J3886" t="s">
        <v>2292</v>
      </c>
      <c r="K3886" t="s">
        <v>56</v>
      </c>
      <c r="L3886" t="s">
        <v>9274</v>
      </c>
      <c r="M3886" s="3" t="str">
        <f>HYPERLINK("..\..\Imagery\ScannedPhotos\1986\SN86-426.jpg")</f>
        <v>..\..\Imagery\ScannedPhotos\1986\SN86-426.jpg</v>
      </c>
    </row>
    <row r="3887" spans="1:13" x14ac:dyDescent="0.25">
      <c r="A3887" t="s">
        <v>9275</v>
      </c>
      <c r="B3887">
        <v>471470</v>
      </c>
      <c r="C3887">
        <v>6004481</v>
      </c>
      <c r="D3887">
        <v>21</v>
      </c>
      <c r="E3887" t="s">
        <v>15</v>
      </c>
      <c r="F3887" t="s">
        <v>9276</v>
      </c>
      <c r="G3887">
        <v>14</v>
      </c>
      <c r="H3887" t="s">
        <v>1326</v>
      </c>
      <c r="I3887" t="s">
        <v>418</v>
      </c>
      <c r="J3887" t="s">
        <v>95</v>
      </c>
      <c r="K3887" t="s">
        <v>20</v>
      </c>
      <c r="L3887" t="s">
        <v>9277</v>
      </c>
      <c r="M3887" s="3" t="str">
        <f>HYPERLINK("..\..\Imagery\ScannedPhotos\1980\CG80-350.1.jpg")</f>
        <v>..\..\Imagery\ScannedPhotos\1980\CG80-350.1.jpg</v>
      </c>
    </row>
    <row r="3888" spans="1:13" x14ac:dyDescent="0.25">
      <c r="A3888" t="s">
        <v>9275</v>
      </c>
      <c r="B3888">
        <v>471470</v>
      </c>
      <c r="C3888">
        <v>6004481</v>
      </c>
      <c r="D3888">
        <v>21</v>
      </c>
      <c r="E3888" t="s">
        <v>15</v>
      </c>
      <c r="F3888" t="s">
        <v>9278</v>
      </c>
      <c r="G3888">
        <v>14</v>
      </c>
      <c r="H3888" t="s">
        <v>806</v>
      </c>
      <c r="I3888" t="s">
        <v>214</v>
      </c>
      <c r="J3888" t="s">
        <v>807</v>
      </c>
      <c r="K3888" t="s">
        <v>20</v>
      </c>
      <c r="L3888" t="s">
        <v>9279</v>
      </c>
      <c r="M3888" s="3" t="str">
        <f>HYPERLINK("..\..\Imagery\ScannedPhotos\1980\CG80-350.6.jpg")</f>
        <v>..\..\Imagery\ScannedPhotos\1980\CG80-350.6.jpg</v>
      </c>
    </row>
    <row r="3889" spans="1:13" x14ac:dyDescent="0.25">
      <c r="A3889" t="s">
        <v>9275</v>
      </c>
      <c r="B3889">
        <v>471470</v>
      </c>
      <c r="C3889">
        <v>6004481</v>
      </c>
      <c r="D3889">
        <v>21</v>
      </c>
      <c r="E3889" t="s">
        <v>15</v>
      </c>
      <c r="F3889" t="s">
        <v>9280</v>
      </c>
      <c r="G3889">
        <v>14</v>
      </c>
      <c r="H3889" t="s">
        <v>806</v>
      </c>
      <c r="I3889" t="s">
        <v>217</v>
      </c>
      <c r="J3889" t="s">
        <v>807</v>
      </c>
      <c r="K3889" t="s">
        <v>20</v>
      </c>
      <c r="L3889" t="s">
        <v>9281</v>
      </c>
      <c r="M3889" s="3" t="str">
        <f>HYPERLINK("..\..\Imagery\ScannedPhotos\1980\CG80-350.5.jpg")</f>
        <v>..\..\Imagery\ScannedPhotos\1980\CG80-350.5.jpg</v>
      </c>
    </row>
    <row r="3890" spans="1:13" x14ac:dyDescent="0.25">
      <c r="A3890" t="s">
        <v>9282</v>
      </c>
      <c r="B3890">
        <v>472175</v>
      </c>
      <c r="C3890">
        <v>6004386</v>
      </c>
      <c r="D3890">
        <v>21</v>
      </c>
      <c r="E3890" t="s">
        <v>15</v>
      </c>
      <c r="F3890" t="s">
        <v>9283</v>
      </c>
      <c r="G3890">
        <v>2</v>
      </c>
      <c r="H3890" t="s">
        <v>1326</v>
      </c>
      <c r="I3890" t="s">
        <v>25</v>
      </c>
      <c r="J3890" t="s">
        <v>95</v>
      </c>
      <c r="K3890" t="s">
        <v>20</v>
      </c>
      <c r="L3890" t="s">
        <v>9284</v>
      </c>
      <c r="M3890" s="3" t="str">
        <f>HYPERLINK("..\..\Imagery\ScannedPhotos\1980\CG80-351.1.jpg")</f>
        <v>..\..\Imagery\ScannedPhotos\1980\CG80-351.1.jpg</v>
      </c>
    </row>
    <row r="3891" spans="1:13" x14ac:dyDescent="0.25">
      <c r="A3891" t="s">
        <v>8194</v>
      </c>
      <c r="B3891">
        <v>342275</v>
      </c>
      <c r="C3891">
        <v>5970341</v>
      </c>
      <c r="D3891">
        <v>21</v>
      </c>
      <c r="E3891" t="s">
        <v>15</v>
      </c>
      <c r="F3891" t="s">
        <v>9285</v>
      </c>
      <c r="G3891">
        <v>3</v>
      </c>
      <c r="H3891" t="s">
        <v>1232</v>
      </c>
      <c r="I3891" t="s">
        <v>418</v>
      </c>
      <c r="J3891" t="s">
        <v>1233</v>
      </c>
      <c r="K3891" t="s">
        <v>535</v>
      </c>
      <c r="L3891" t="s">
        <v>9286</v>
      </c>
      <c r="M3891" s="3" t="str">
        <f>HYPERLINK("..\..\Imagery\ScannedPhotos\1982\PE82-149.3.jpg")</f>
        <v>..\..\Imagery\ScannedPhotos\1982\PE82-149.3.jpg</v>
      </c>
    </row>
    <row r="3892" spans="1:13" x14ac:dyDescent="0.25">
      <c r="A3892" t="s">
        <v>9287</v>
      </c>
      <c r="B3892">
        <v>566531</v>
      </c>
      <c r="C3892">
        <v>5842372</v>
      </c>
      <c r="D3892">
        <v>21</v>
      </c>
      <c r="E3892" t="s">
        <v>15</v>
      </c>
      <c r="F3892" t="s">
        <v>9288</v>
      </c>
      <c r="G3892">
        <v>1</v>
      </c>
      <c r="H3892" t="s">
        <v>99</v>
      </c>
      <c r="I3892" t="s">
        <v>74</v>
      </c>
      <c r="J3892" t="s">
        <v>100</v>
      </c>
      <c r="K3892" t="s">
        <v>20</v>
      </c>
      <c r="L3892" t="s">
        <v>9289</v>
      </c>
      <c r="M3892" s="3" t="str">
        <f>HYPERLINK("..\..\Imagery\ScannedPhotos\1986\MN86-359.jpg")</f>
        <v>..\..\Imagery\ScannedPhotos\1986\MN86-359.jpg</v>
      </c>
    </row>
    <row r="3893" spans="1:13" x14ac:dyDescent="0.25">
      <c r="A3893" t="s">
        <v>4183</v>
      </c>
      <c r="B3893">
        <v>497950</v>
      </c>
      <c r="C3893">
        <v>5851225</v>
      </c>
      <c r="D3893">
        <v>21</v>
      </c>
      <c r="E3893" t="s">
        <v>15</v>
      </c>
      <c r="F3893" t="s">
        <v>9290</v>
      </c>
      <c r="G3893">
        <v>2</v>
      </c>
      <c r="H3893" t="s">
        <v>1128</v>
      </c>
      <c r="I3893" t="s">
        <v>18</v>
      </c>
      <c r="J3893" t="s">
        <v>1129</v>
      </c>
      <c r="K3893" t="s">
        <v>20</v>
      </c>
      <c r="L3893" t="s">
        <v>9291</v>
      </c>
      <c r="M3893" s="3" t="str">
        <f>HYPERLINK("..\..\Imagery\ScannedPhotos\1991\VN91-091.2.jpg")</f>
        <v>..\..\Imagery\ScannedPhotos\1991\VN91-091.2.jpg</v>
      </c>
    </row>
    <row r="3894" spans="1:13" x14ac:dyDescent="0.25">
      <c r="A3894" t="s">
        <v>9292</v>
      </c>
      <c r="B3894">
        <v>504418</v>
      </c>
      <c r="C3894">
        <v>5955470</v>
      </c>
      <c r="D3894">
        <v>21</v>
      </c>
      <c r="E3894" t="s">
        <v>15</v>
      </c>
      <c r="F3894" t="s">
        <v>9293</v>
      </c>
      <c r="G3894">
        <v>2</v>
      </c>
      <c r="H3894" t="s">
        <v>3587</v>
      </c>
      <c r="I3894" t="s">
        <v>18</v>
      </c>
      <c r="J3894" t="s">
        <v>3588</v>
      </c>
      <c r="K3894" t="s">
        <v>20</v>
      </c>
      <c r="L3894" t="s">
        <v>3665</v>
      </c>
      <c r="M3894" s="3" t="str">
        <f>HYPERLINK("..\..\Imagery\ScannedPhotos\1977\MC77-244.1.jpg")</f>
        <v>..\..\Imagery\ScannedPhotos\1977\MC77-244.1.jpg</v>
      </c>
    </row>
    <row r="3895" spans="1:13" x14ac:dyDescent="0.25">
      <c r="A3895" t="s">
        <v>9292</v>
      </c>
      <c r="B3895">
        <v>504418</v>
      </c>
      <c r="C3895">
        <v>5955470</v>
      </c>
      <c r="D3895">
        <v>21</v>
      </c>
      <c r="E3895" t="s">
        <v>15</v>
      </c>
      <c r="F3895" t="s">
        <v>9294</v>
      </c>
      <c r="G3895">
        <v>2</v>
      </c>
      <c r="H3895" t="s">
        <v>3587</v>
      </c>
      <c r="I3895" t="s">
        <v>35</v>
      </c>
      <c r="J3895" t="s">
        <v>3588</v>
      </c>
      <c r="K3895" t="s">
        <v>20</v>
      </c>
      <c r="L3895" t="s">
        <v>3665</v>
      </c>
      <c r="M3895" s="3" t="str">
        <f>HYPERLINK("..\..\Imagery\ScannedPhotos\1977\MC77-244.2.jpg")</f>
        <v>..\..\Imagery\ScannedPhotos\1977\MC77-244.2.jpg</v>
      </c>
    </row>
    <row r="3896" spans="1:13" x14ac:dyDescent="0.25">
      <c r="A3896" t="s">
        <v>6992</v>
      </c>
      <c r="B3896">
        <v>389816</v>
      </c>
      <c r="C3896">
        <v>6000551</v>
      </c>
      <c r="D3896">
        <v>21</v>
      </c>
      <c r="E3896" t="s">
        <v>15</v>
      </c>
      <c r="F3896" t="s">
        <v>9295</v>
      </c>
      <c r="G3896">
        <v>2</v>
      </c>
      <c r="H3896" t="s">
        <v>651</v>
      </c>
      <c r="I3896" t="s">
        <v>209</v>
      </c>
      <c r="J3896" t="s">
        <v>652</v>
      </c>
      <c r="K3896" t="s">
        <v>20</v>
      </c>
      <c r="L3896" t="s">
        <v>6994</v>
      </c>
      <c r="M3896" s="3" t="str">
        <f>HYPERLINK("..\..\Imagery\ScannedPhotos\1980\NN80-057.2.jpg")</f>
        <v>..\..\Imagery\ScannedPhotos\1980\NN80-057.2.jpg</v>
      </c>
    </row>
    <row r="3897" spans="1:13" x14ac:dyDescent="0.25">
      <c r="A3897" t="s">
        <v>7660</v>
      </c>
      <c r="B3897">
        <v>471076</v>
      </c>
      <c r="C3897">
        <v>6004606</v>
      </c>
      <c r="D3897">
        <v>21</v>
      </c>
      <c r="E3897" t="s">
        <v>15</v>
      </c>
      <c r="F3897" t="s">
        <v>9296</v>
      </c>
      <c r="G3897">
        <v>5</v>
      </c>
      <c r="H3897" t="s">
        <v>1326</v>
      </c>
      <c r="I3897" t="s">
        <v>94</v>
      </c>
      <c r="J3897" t="s">
        <v>95</v>
      </c>
      <c r="K3897" t="s">
        <v>20</v>
      </c>
      <c r="L3897" t="s">
        <v>7662</v>
      </c>
      <c r="M3897" s="3" t="str">
        <f>HYPERLINK("..\..\Imagery\ScannedPhotos\1980\CG80-348.1.jpg")</f>
        <v>..\..\Imagery\ScannedPhotos\1980\CG80-348.1.jpg</v>
      </c>
    </row>
    <row r="3898" spans="1:13" x14ac:dyDescent="0.25">
      <c r="A3898" t="s">
        <v>7660</v>
      </c>
      <c r="B3898">
        <v>471076</v>
      </c>
      <c r="C3898">
        <v>6004606</v>
      </c>
      <c r="D3898">
        <v>21</v>
      </c>
      <c r="E3898" t="s">
        <v>15</v>
      </c>
      <c r="F3898" t="s">
        <v>9297</v>
      </c>
      <c r="G3898">
        <v>5</v>
      </c>
      <c r="H3898" t="s">
        <v>1326</v>
      </c>
      <c r="I3898" t="s">
        <v>217</v>
      </c>
      <c r="J3898" t="s">
        <v>95</v>
      </c>
      <c r="K3898" t="s">
        <v>20</v>
      </c>
      <c r="L3898" t="s">
        <v>9298</v>
      </c>
      <c r="M3898" s="3" t="str">
        <f>HYPERLINK("..\..\Imagery\ScannedPhotos\1980\CG80-348.4.jpg")</f>
        <v>..\..\Imagery\ScannedPhotos\1980\CG80-348.4.jpg</v>
      </c>
    </row>
    <row r="3899" spans="1:13" x14ac:dyDescent="0.25">
      <c r="A3899" t="s">
        <v>7660</v>
      </c>
      <c r="B3899">
        <v>471076</v>
      </c>
      <c r="C3899">
        <v>6004606</v>
      </c>
      <c r="D3899">
        <v>21</v>
      </c>
      <c r="E3899" t="s">
        <v>15</v>
      </c>
      <c r="F3899" t="s">
        <v>9299</v>
      </c>
      <c r="G3899">
        <v>5</v>
      </c>
      <c r="H3899" t="s">
        <v>1326</v>
      </c>
      <c r="I3899" t="s">
        <v>386</v>
      </c>
      <c r="J3899" t="s">
        <v>95</v>
      </c>
      <c r="K3899" t="s">
        <v>20</v>
      </c>
      <c r="L3899" t="s">
        <v>9298</v>
      </c>
      <c r="M3899" s="3" t="str">
        <f>HYPERLINK("..\..\Imagery\ScannedPhotos\1980\CG80-348.3.jpg")</f>
        <v>..\..\Imagery\ScannedPhotos\1980\CG80-348.3.jpg</v>
      </c>
    </row>
    <row r="3900" spans="1:13" x14ac:dyDescent="0.25">
      <c r="A3900" t="s">
        <v>9300</v>
      </c>
      <c r="B3900">
        <v>582392</v>
      </c>
      <c r="C3900">
        <v>5764379</v>
      </c>
      <c r="D3900">
        <v>21</v>
      </c>
      <c r="E3900" t="s">
        <v>15</v>
      </c>
      <c r="F3900" t="s">
        <v>9301</v>
      </c>
      <c r="G3900">
        <v>1</v>
      </c>
      <c r="H3900" t="s">
        <v>2480</v>
      </c>
      <c r="I3900" t="s">
        <v>132</v>
      </c>
      <c r="J3900" t="s">
        <v>1619</v>
      </c>
      <c r="K3900" t="s">
        <v>20</v>
      </c>
      <c r="L3900" t="s">
        <v>9302</v>
      </c>
      <c r="M3900" s="3" t="str">
        <f>HYPERLINK("..\..\Imagery\ScannedPhotos\1987\JS87-393.jpg")</f>
        <v>..\..\Imagery\ScannedPhotos\1987\JS87-393.jpg</v>
      </c>
    </row>
    <row r="3901" spans="1:13" x14ac:dyDescent="0.25">
      <c r="A3901" t="s">
        <v>9303</v>
      </c>
      <c r="B3901">
        <v>582410</v>
      </c>
      <c r="C3901">
        <v>5770008</v>
      </c>
      <c r="D3901">
        <v>21</v>
      </c>
      <c r="E3901" t="s">
        <v>15</v>
      </c>
      <c r="F3901" t="s">
        <v>9304</v>
      </c>
      <c r="G3901">
        <v>1</v>
      </c>
      <c r="H3901" t="s">
        <v>2480</v>
      </c>
      <c r="I3901" t="s">
        <v>143</v>
      </c>
      <c r="J3901" t="s">
        <v>1619</v>
      </c>
      <c r="K3901" t="s">
        <v>56</v>
      </c>
      <c r="L3901" t="s">
        <v>7946</v>
      </c>
      <c r="M3901" s="3" t="str">
        <f>HYPERLINK("..\..\Imagery\ScannedPhotos\1987\JS87-403.jpg")</f>
        <v>..\..\Imagery\ScannedPhotos\1987\JS87-403.jpg</v>
      </c>
    </row>
    <row r="3902" spans="1:13" x14ac:dyDescent="0.25">
      <c r="A3902" t="s">
        <v>9305</v>
      </c>
      <c r="B3902">
        <v>544398</v>
      </c>
      <c r="C3902">
        <v>5809056</v>
      </c>
      <c r="D3902">
        <v>21</v>
      </c>
      <c r="E3902" t="s">
        <v>15</v>
      </c>
      <c r="F3902" t="s">
        <v>9306</v>
      </c>
      <c r="G3902">
        <v>1</v>
      </c>
      <c r="H3902" t="s">
        <v>2023</v>
      </c>
      <c r="I3902" t="s">
        <v>79</v>
      </c>
      <c r="J3902" t="s">
        <v>1052</v>
      </c>
      <c r="K3902" t="s">
        <v>20</v>
      </c>
      <c r="L3902" t="s">
        <v>9307</v>
      </c>
      <c r="M3902" s="3" t="str">
        <f>HYPERLINK("..\..\Imagery\ScannedPhotos\1987\JS87-418.jpg")</f>
        <v>..\..\Imagery\ScannedPhotos\1987\JS87-418.jpg</v>
      </c>
    </row>
    <row r="3903" spans="1:13" x14ac:dyDescent="0.25">
      <c r="A3903" t="s">
        <v>9308</v>
      </c>
      <c r="B3903">
        <v>584434</v>
      </c>
      <c r="C3903">
        <v>5784922</v>
      </c>
      <c r="D3903">
        <v>21</v>
      </c>
      <c r="E3903" t="s">
        <v>15</v>
      </c>
      <c r="F3903" t="s">
        <v>9309</v>
      </c>
      <c r="G3903">
        <v>1</v>
      </c>
      <c r="H3903" t="s">
        <v>2023</v>
      </c>
      <c r="I3903" t="s">
        <v>85</v>
      </c>
      <c r="J3903" t="s">
        <v>1052</v>
      </c>
      <c r="K3903" t="s">
        <v>20</v>
      </c>
      <c r="L3903" t="s">
        <v>9310</v>
      </c>
      <c r="M3903" s="3" t="str">
        <f>HYPERLINK("..\..\Imagery\ScannedPhotos\1987\JS87-459.jpg")</f>
        <v>..\..\Imagery\ScannedPhotos\1987\JS87-459.jpg</v>
      </c>
    </row>
    <row r="3904" spans="1:13" x14ac:dyDescent="0.25">
      <c r="A3904" t="s">
        <v>3146</v>
      </c>
      <c r="B3904">
        <v>499717</v>
      </c>
      <c r="C3904">
        <v>5791130</v>
      </c>
      <c r="D3904">
        <v>21</v>
      </c>
      <c r="E3904" t="s">
        <v>15</v>
      </c>
      <c r="F3904" t="s">
        <v>9311</v>
      </c>
      <c r="G3904">
        <v>6</v>
      </c>
      <c r="H3904" t="s">
        <v>1095</v>
      </c>
      <c r="I3904" t="s">
        <v>30</v>
      </c>
      <c r="J3904" t="s">
        <v>1096</v>
      </c>
      <c r="K3904" t="s">
        <v>20</v>
      </c>
      <c r="L3904" t="s">
        <v>9312</v>
      </c>
      <c r="M3904" s="3" t="str">
        <f>HYPERLINK("..\..\Imagery\ScannedPhotos\1992\VN92-070.6.jpg")</f>
        <v>..\..\Imagery\ScannedPhotos\1992\VN92-070.6.jpg</v>
      </c>
    </row>
    <row r="3905" spans="1:13" x14ac:dyDescent="0.25">
      <c r="A3905" t="s">
        <v>9313</v>
      </c>
      <c r="B3905">
        <v>485727</v>
      </c>
      <c r="C3905">
        <v>5826452</v>
      </c>
      <c r="D3905">
        <v>21</v>
      </c>
      <c r="E3905" t="s">
        <v>15</v>
      </c>
      <c r="F3905" t="s">
        <v>9314</v>
      </c>
      <c r="G3905">
        <v>2</v>
      </c>
      <c r="H3905" t="s">
        <v>2789</v>
      </c>
      <c r="I3905" t="s">
        <v>222</v>
      </c>
      <c r="J3905" t="s">
        <v>413</v>
      </c>
      <c r="K3905" t="s">
        <v>20</v>
      </c>
      <c r="L3905" t="s">
        <v>9315</v>
      </c>
      <c r="M3905" s="3" t="str">
        <f>HYPERLINK("..\..\Imagery\ScannedPhotos\1991\VN91-137.1.jpg")</f>
        <v>..\..\Imagery\ScannedPhotos\1991\VN91-137.1.jpg</v>
      </c>
    </row>
    <row r="3906" spans="1:13" x14ac:dyDescent="0.25">
      <c r="A3906" t="s">
        <v>9313</v>
      </c>
      <c r="B3906">
        <v>485727</v>
      </c>
      <c r="C3906">
        <v>5826452</v>
      </c>
      <c r="D3906">
        <v>21</v>
      </c>
      <c r="E3906" t="s">
        <v>15</v>
      </c>
      <c r="F3906" t="s">
        <v>9316</v>
      </c>
      <c r="G3906">
        <v>2</v>
      </c>
      <c r="H3906" t="s">
        <v>2789</v>
      </c>
      <c r="I3906" t="s">
        <v>418</v>
      </c>
      <c r="J3906" t="s">
        <v>413</v>
      </c>
      <c r="K3906" t="s">
        <v>20</v>
      </c>
      <c r="L3906" t="s">
        <v>9315</v>
      </c>
      <c r="M3906" s="3" t="str">
        <f>HYPERLINK("..\..\Imagery\ScannedPhotos\1991\VN91-137.2.jpg")</f>
        <v>..\..\Imagery\ScannedPhotos\1991\VN91-137.2.jpg</v>
      </c>
    </row>
    <row r="3907" spans="1:13" x14ac:dyDescent="0.25">
      <c r="A3907" t="s">
        <v>9317</v>
      </c>
      <c r="B3907">
        <v>485552</v>
      </c>
      <c r="C3907">
        <v>5826302</v>
      </c>
      <c r="D3907">
        <v>21</v>
      </c>
      <c r="E3907" t="s">
        <v>15</v>
      </c>
      <c r="F3907" t="s">
        <v>9318</v>
      </c>
      <c r="G3907">
        <v>1</v>
      </c>
      <c r="H3907" t="s">
        <v>2789</v>
      </c>
      <c r="I3907" t="s">
        <v>304</v>
      </c>
      <c r="J3907" t="s">
        <v>413</v>
      </c>
      <c r="K3907" t="s">
        <v>20</v>
      </c>
      <c r="L3907" t="s">
        <v>9319</v>
      </c>
      <c r="M3907" s="3" t="str">
        <f>HYPERLINK("..\..\Imagery\ScannedPhotos\1991\VN91-138.jpg")</f>
        <v>..\..\Imagery\ScannedPhotos\1991\VN91-138.jpg</v>
      </c>
    </row>
    <row r="3908" spans="1:13" x14ac:dyDescent="0.25">
      <c r="A3908" t="s">
        <v>9320</v>
      </c>
      <c r="B3908">
        <v>484193</v>
      </c>
      <c r="C3908">
        <v>5836235</v>
      </c>
      <c r="D3908">
        <v>21</v>
      </c>
      <c r="E3908" t="s">
        <v>15</v>
      </c>
      <c r="F3908" t="s">
        <v>9321</v>
      </c>
      <c r="G3908">
        <v>2</v>
      </c>
      <c r="H3908" t="s">
        <v>2789</v>
      </c>
      <c r="I3908" t="s">
        <v>25</v>
      </c>
      <c r="J3908" t="s">
        <v>413</v>
      </c>
      <c r="K3908" t="s">
        <v>56</v>
      </c>
      <c r="L3908" t="s">
        <v>9322</v>
      </c>
      <c r="M3908" s="3" t="str">
        <f>HYPERLINK("..\..\Imagery\ScannedPhotos\1991\VN91-141.2.jpg")</f>
        <v>..\..\Imagery\ScannedPhotos\1991\VN91-141.2.jpg</v>
      </c>
    </row>
    <row r="3909" spans="1:13" x14ac:dyDescent="0.25">
      <c r="A3909" t="s">
        <v>9320</v>
      </c>
      <c r="B3909">
        <v>484193</v>
      </c>
      <c r="C3909">
        <v>5836235</v>
      </c>
      <c r="D3909">
        <v>21</v>
      </c>
      <c r="E3909" t="s">
        <v>15</v>
      </c>
      <c r="F3909" t="s">
        <v>9323</v>
      </c>
      <c r="G3909">
        <v>2</v>
      </c>
      <c r="H3909" t="s">
        <v>2789</v>
      </c>
      <c r="I3909" t="s">
        <v>195</v>
      </c>
      <c r="J3909" t="s">
        <v>413</v>
      </c>
      <c r="K3909" t="s">
        <v>20</v>
      </c>
      <c r="L3909" t="s">
        <v>9322</v>
      </c>
      <c r="M3909" s="3" t="str">
        <f>HYPERLINK("..\..\Imagery\ScannedPhotos\1991\VN91-141.1.jpg")</f>
        <v>..\..\Imagery\ScannedPhotos\1991\VN91-141.1.jpg</v>
      </c>
    </row>
    <row r="3910" spans="1:13" x14ac:dyDescent="0.25">
      <c r="A3910" t="s">
        <v>9067</v>
      </c>
      <c r="B3910">
        <v>577962</v>
      </c>
      <c r="C3910">
        <v>5815765</v>
      </c>
      <c r="D3910">
        <v>21</v>
      </c>
      <c r="E3910" t="s">
        <v>15</v>
      </c>
      <c r="F3910" t="s">
        <v>9324</v>
      </c>
      <c r="G3910">
        <v>2</v>
      </c>
      <c r="H3910" t="s">
        <v>5918</v>
      </c>
      <c r="I3910" t="s">
        <v>217</v>
      </c>
      <c r="J3910" t="s">
        <v>1619</v>
      </c>
      <c r="K3910" t="s">
        <v>20</v>
      </c>
      <c r="L3910" t="s">
        <v>9069</v>
      </c>
      <c r="M3910" s="3" t="str">
        <f>HYPERLINK("..\..\Imagery\ScannedPhotos\1987\VN87-135.2.jpg")</f>
        <v>..\..\Imagery\ScannedPhotos\1987\VN87-135.2.jpg</v>
      </c>
    </row>
    <row r="3911" spans="1:13" x14ac:dyDescent="0.25">
      <c r="A3911" t="s">
        <v>9325</v>
      </c>
      <c r="B3911">
        <v>577876</v>
      </c>
      <c r="C3911">
        <v>5815397</v>
      </c>
      <c r="D3911">
        <v>21</v>
      </c>
      <c r="E3911" t="s">
        <v>15</v>
      </c>
      <c r="F3911" t="s">
        <v>9326</v>
      </c>
      <c r="G3911">
        <v>1</v>
      </c>
      <c r="H3911" t="s">
        <v>5918</v>
      </c>
      <c r="I3911" t="s">
        <v>214</v>
      </c>
      <c r="J3911" t="s">
        <v>1619</v>
      </c>
      <c r="K3911" t="s">
        <v>20</v>
      </c>
      <c r="L3911" t="s">
        <v>9327</v>
      </c>
      <c r="M3911" s="3" t="str">
        <f>HYPERLINK("..\..\Imagery\ScannedPhotos\1987\VN87-136.jpg")</f>
        <v>..\..\Imagery\ScannedPhotos\1987\VN87-136.jpg</v>
      </c>
    </row>
    <row r="3912" spans="1:13" x14ac:dyDescent="0.25">
      <c r="A3912" t="s">
        <v>8754</v>
      </c>
      <c r="B3912">
        <v>550046</v>
      </c>
      <c r="C3912">
        <v>5889364</v>
      </c>
      <c r="D3912">
        <v>21</v>
      </c>
      <c r="E3912" t="s">
        <v>15</v>
      </c>
      <c r="F3912" t="s">
        <v>9328</v>
      </c>
      <c r="G3912">
        <v>2</v>
      </c>
      <c r="H3912" t="s">
        <v>8266</v>
      </c>
      <c r="I3912" t="s">
        <v>35</v>
      </c>
      <c r="J3912" t="s">
        <v>1583</v>
      </c>
      <c r="K3912" t="s">
        <v>56</v>
      </c>
      <c r="L3912" t="s">
        <v>8756</v>
      </c>
      <c r="M3912" s="3" t="str">
        <f>HYPERLINK("..\..\Imagery\ScannedPhotos\1985\LC85-009.2.jpg")</f>
        <v>..\..\Imagery\ScannedPhotos\1985\LC85-009.2.jpg</v>
      </c>
    </row>
    <row r="3913" spans="1:13" x14ac:dyDescent="0.25">
      <c r="A3913" t="s">
        <v>9329</v>
      </c>
      <c r="B3913">
        <v>464648</v>
      </c>
      <c r="C3913">
        <v>5937535</v>
      </c>
      <c r="D3913">
        <v>21</v>
      </c>
      <c r="E3913" t="s">
        <v>15</v>
      </c>
      <c r="F3913" t="s">
        <v>9330</v>
      </c>
      <c r="G3913">
        <v>1</v>
      </c>
      <c r="H3913" t="s">
        <v>632</v>
      </c>
      <c r="I3913" t="s">
        <v>126</v>
      </c>
      <c r="J3913" t="s">
        <v>633</v>
      </c>
      <c r="K3913" t="s">
        <v>20</v>
      </c>
      <c r="L3913" t="s">
        <v>9331</v>
      </c>
      <c r="M3913" s="3" t="str">
        <f>HYPERLINK("..\..\Imagery\ScannedPhotos\1977\MC77-104.jpg")</f>
        <v>..\..\Imagery\ScannedPhotos\1977\MC77-104.jpg</v>
      </c>
    </row>
    <row r="3914" spans="1:13" x14ac:dyDescent="0.25">
      <c r="A3914" t="s">
        <v>9332</v>
      </c>
      <c r="B3914">
        <v>460378</v>
      </c>
      <c r="C3914">
        <v>5910480</v>
      </c>
      <c r="D3914">
        <v>21</v>
      </c>
      <c r="E3914" t="s">
        <v>15</v>
      </c>
      <c r="F3914" t="s">
        <v>9333</v>
      </c>
      <c r="G3914">
        <v>1</v>
      </c>
      <c r="H3914" t="s">
        <v>632</v>
      </c>
      <c r="I3914" t="s">
        <v>108</v>
      </c>
      <c r="J3914" t="s">
        <v>633</v>
      </c>
      <c r="K3914" t="s">
        <v>20</v>
      </c>
      <c r="L3914" t="s">
        <v>9334</v>
      </c>
      <c r="M3914" s="3" t="str">
        <f>HYPERLINK("..\..\Imagery\ScannedPhotos\1977\MC77-114.jpg")</f>
        <v>..\..\Imagery\ScannedPhotos\1977\MC77-114.jpg</v>
      </c>
    </row>
    <row r="3915" spans="1:13" x14ac:dyDescent="0.25">
      <c r="A3915" t="s">
        <v>6170</v>
      </c>
      <c r="B3915">
        <v>460257</v>
      </c>
      <c r="C3915">
        <v>5907172</v>
      </c>
      <c r="D3915">
        <v>21</v>
      </c>
      <c r="E3915" t="s">
        <v>15</v>
      </c>
      <c r="F3915" t="s">
        <v>9335</v>
      </c>
      <c r="G3915">
        <v>2</v>
      </c>
      <c r="H3915" t="s">
        <v>632</v>
      </c>
      <c r="I3915" t="s">
        <v>132</v>
      </c>
      <c r="J3915" t="s">
        <v>633</v>
      </c>
      <c r="K3915" t="s">
        <v>20</v>
      </c>
      <c r="L3915" t="s">
        <v>9336</v>
      </c>
      <c r="M3915" s="3" t="str">
        <f>HYPERLINK("..\..\Imagery\ScannedPhotos\1977\MC77-127.1.jpg")</f>
        <v>..\..\Imagery\ScannedPhotos\1977\MC77-127.1.jpg</v>
      </c>
    </row>
    <row r="3916" spans="1:13" x14ac:dyDescent="0.25">
      <c r="A3916" t="s">
        <v>4338</v>
      </c>
      <c r="B3916">
        <v>527200</v>
      </c>
      <c r="C3916">
        <v>5776620</v>
      </c>
      <c r="D3916">
        <v>21</v>
      </c>
      <c r="E3916" t="s">
        <v>15</v>
      </c>
      <c r="F3916" t="s">
        <v>9337</v>
      </c>
      <c r="G3916">
        <v>2</v>
      </c>
      <c r="H3916" t="s">
        <v>2023</v>
      </c>
      <c r="I3916" t="s">
        <v>137</v>
      </c>
      <c r="J3916" t="s">
        <v>1052</v>
      </c>
      <c r="K3916" t="s">
        <v>56</v>
      </c>
      <c r="L3916" t="s">
        <v>4340</v>
      </c>
      <c r="M3916" s="3" t="str">
        <f>HYPERLINK("..\..\Imagery\ScannedPhotos\1987\CG87-660.1.jpg")</f>
        <v>..\..\Imagery\ScannedPhotos\1987\CG87-660.1.jpg</v>
      </c>
    </row>
    <row r="3917" spans="1:13" x14ac:dyDescent="0.25">
      <c r="A3917" t="s">
        <v>9338</v>
      </c>
      <c r="B3917">
        <v>598690</v>
      </c>
      <c r="C3917">
        <v>5789506</v>
      </c>
      <c r="D3917">
        <v>21</v>
      </c>
      <c r="E3917" t="s">
        <v>15</v>
      </c>
      <c r="F3917" t="s">
        <v>9339</v>
      </c>
      <c r="G3917">
        <v>3</v>
      </c>
      <c r="H3917" t="s">
        <v>4315</v>
      </c>
      <c r="I3917" t="s">
        <v>304</v>
      </c>
      <c r="J3917" t="s">
        <v>996</v>
      </c>
      <c r="K3917" t="s">
        <v>20</v>
      </c>
      <c r="L3917" t="s">
        <v>4343</v>
      </c>
      <c r="M3917" s="3" t="str">
        <f>HYPERLINK("..\..\Imagery\ScannedPhotos\1987\CG87-662.2.jpg")</f>
        <v>..\..\Imagery\ScannedPhotos\1987\CG87-662.2.jpg</v>
      </c>
    </row>
    <row r="3918" spans="1:13" x14ac:dyDescent="0.25">
      <c r="A3918" t="s">
        <v>9338</v>
      </c>
      <c r="B3918">
        <v>598690</v>
      </c>
      <c r="C3918">
        <v>5789506</v>
      </c>
      <c r="D3918">
        <v>21</v>
      </c>
      <c r="E3918" t="s">
        <v>15</v>
      </c>
      <c r="F3918" t="s">
        <v>9340</v>
      </c>
      <c r="G3918">
        <v>3</v>
      </c>
      <c r="H3918" t="s">
        <v>4315</v>
      </c>
      <c r="I3918" t="s">
        <v>418</v>
      </c>
      <c r="J3918" t="s">
        <v>996</v>
      </c>
      <c r="K3918" t="s">
        <v>20</v>
      </c>
      <c r="L3918" t="s">
        <v>4343</v>
      </c>
      <c r="M3918" s="3" t="str">
        <f>HYPERLINK("..\..\Imagery\ScannedPhotos\1987\CG87-662.1.jpg")</f>
        <v>..\..\Imagery\ScannedPhotos\1987\CG87-662.1.jpg</v>
      </c>
    </row>
    <row r="3919" spans="1:13" x14ac:dyDescent="0.25">
      <c r="A3919" t="s">
        <v>9338</v>
      </c>
      <c r="B3919">
        <v>598690</v>
      </c>
      <c r="C3919">
        <v>5789506</v>
      </c>
      <c r="D3919">
        <v>21</v>
      </c>
      <c r="E3919" t="s">
        <v>15</v>
      </c>
      <c r="F3919" t="s">
        <v>9341</v>
      </c>
      <c r="G3919">
        <v>3</v>
      </c>
      <c r="H3919" t="s">
        <v>4315</v>
      </c>
      <c r="I3919" t="s">
        <v>195</v>
      </c>
      <c r="J3919" t="s">
        <v>996</v>
      </c>
      <c r="K3919" t="s">
        <v>20</v>
      </c>
      <c r="L3919" t="s">
        <v>4343</v>
      </c>
      <c r="M3919" s="3" t="str">
        <f>HYPERLINK("..\..\Imagery\ScannedPhotos\1987\CG87-662.3.jpg")</f>
        <v>..\..\Imagery\ScannedPhotos\1987\CG87-662.3.jpg</v>
      </c>
    </row>
    <row r="3920" spans="1:13" x14ac:dyDescent="0.25">
      <c r="A3920" t="s">
        <v>6164</v>
      </c>
      <c r="B3920">
        <v>573871</v>
      </c>
      <c r="C3920">
        <v>5760224</v>
      </c>
      <c r="D3920">
        <v>21</v>
      </c>
      <c r="E3920" t="s">
        <v>15</v>
      </c>
      <c r="F3920" t="s">
        <v>9342</v>
      </c>
      <c r="G3920">
        <v>2</v>
      </c>
      <c r="H3920" t="s">
        <v>995</v>
      </c>
      <c r="I3920" t="s">
        <v>41</v>
      </c>
      <c r="J3920" t="s">
        <v>996</v>
      </c>
      <c r="K3920" t="s">
        <v>56</v>
      </c>
      <c r="L3920" t="s">
        <v>6166</v>
      </c>
      <c r="M3920" s="3" t="str">
        <f>HYPERLINK("..\..\Imagery\ScannedPhotos\1993\CG93-731.1.jpg")</f>
        <v>..\..\Imagery\ScannedPhotos\1993\CG93-731.1.jpg</v>
      </c>
    </row>
    <row r="3921" spans="1:14" x14ac:dyDescent="0.25">
      <c r="A3921" t="s">
        <v>9343</v>
      </c>
      <c r="B3921">
        <v>526898</v>
      </c>
      <c r="C3921">
        <v>5905744</v>
      </c>
      <c r="D3921">
        <v>21</v>
      </c>
      <c r="E3921" t="s">
        <v>15</v>
      </c>
      <c r="F3921" t="s">
        <v>9344</v>
      </c>
      <c r="G3921">
        <v>1</v>
      </c>
      <c r="H3921" t="s">
        <v>2084</v>
      </c>
      <c r="I3921" t="s">
        <v>85</v>
      </c>
      <c r="J3921" t="s">
        <v>1014</v>
      </c>
      <c r="K3921" t="s">
        <v>20</v>
      </c>
      <c r="L3921" t="s">
        <v>9345</v>
      </c>
      <c r="M3921" s="3" t="str">
        <f>HYPERLINK("..\..\Imagery\ScannedPhotos\1985\CG85-157.jpg")</f>
        <v>..\..\Imagery\ScannedPhotos\1985\CG85-157.jpg</v>
      </c>
    </row>
    <row r="3922" spans="1:14" x14ac:dyDescent="0.25">
      <c r="A3922" t="s">
        <v>9346</v>
      </c>
      <c r="B3922">
        <v>506737</v>
      </c>
      <c r="C3922">
        <v>5896309</v>
      </c>
      <c r="D3922">
        <v>21</v>
      </c>
      <c r="E3922" t="s">
        <v>15</v>
      </c>
      <c r="F3922" t="s">
        <v>9347</v>
      </c>
      <c r="G3922">
        <v>2</v>
      </c>
      <c r="H3922" t="s">
        <v>2084</v>
      </c>
      <c r="I3922" t="s">
        <v>94</v>
      </c>
      <c r="J3922" t="s">
        <v>1014</v>
      </c>
      <c r="K3922" t="s">
        <v>228</v>
      </c>
      <c r="L3922" t="s">
        <v>9348</v>
      </c>
      <c r="M3922" s="3" t="str">
        <f>HYPERLINK("..\..\Imagery\ScannedPhotos\1985\CG85-178.2.jpg")</f>
        <v>..\..\Imagery\ScannedPhotos\1985\CG85-178.2.jpg</v>
      </c>
    </row>
    <row r="3923" spans="1:14" x14ac:dyDescent="0.25">
      <c r="A3923" t="s">
        <v>9346</v>
      </c>
      <c r="B3923">
        <v>506737</v>
      </c>
      <c r="C3923">
        <v>5896309</v>
      </c>
      <c r="D3923">
        <v>21</v>
      </c>
      <c r="E3923" t="s">
        <v>15</v>
      </c>
      <c r="F3923" t="s">
        <v>9349</v>
      </c>
      <c r="G3923">
        <v>2</v>
      </c>
      <c r="H3923" t="s">
        <v>2084</v>
      </c>
      <c r="I3923" t="s">
        <v>375</v>
      </c>
      <c r="J3923" t="s">
        <v>1014</v>
      </c>
      <c r="K3923" t="s">
        <v>20</v>
      </c>
      <c r="L3923" t="s">
        <v>6896</v>
      </c>
      <c r="M3923" s="3" t="str">
        <f>HYPERLINK("..\..\Imagery\ScannedPhotos\1985\CG85-178.1.jpg")</f>
        <v>..\..\Imagery\ScannedPhotos\1985\CG85-178.1.jpg</v>
      </c>
    </row>
    <row r="3924" spans="1:14" x14ac:dyDescent="0.25">
      <c r="A3924" t="s">
        <v>9350</v>
      </c>
      <c r="B3924">
        <v>506980</v>
      </c>
      <c r="C3924">
        <v>5895807</v>
      </c>
      <c r="D3924">
        <v>21</v>
      </c>
      <c r="E3924" t="s">
        <v>15</v>
      </c>
      <c r="F3924" t="s">
        <v>9351</v>
      </c>
      <c r="G3924">
        <v>2</v>
      </c>
      <c r="H3924" t="s">
        <v>2084</v>
      </c>
      <c r="I3924" t="s">
        <v>386</v>
      </c>
      <c r="J3924" t="s">
        <v>1014</v>
      </c>
      <c r="K3924" t="s">
        <v>56</v>
      </c>
      <c r="L3924" t="s">
        <v>9352</v>
      </c>
      <c r="M3924" s="3" t="str">
        <f>HYPERLINK("..\..\Imagery\ScannedPhotos\1985\CG85-180.2.jpg")</f>
        <v>..\..\Imagery\ScannedPhotos\1985\CG85-180.2.jpg</v>
      </c>
    </row>
    <row r="3925" spans="1:14" x14ac:dyDescent="0.25">
      <c r="A3925" t="s">
        <v>9353</v>
      </c>
      <c r="B3925">
        <v>584097</v>
      </c>
      <c r="C3925">
        <v>5789904</v>
      </c>
      <c r="D3925">
        <v>21</v>
      </c>
      <c r="E3925" t="s">
        <v>15</v>
      </c>
      <c r="F3925" t="s">
        <v>9354</v>
      </c>
      <c r="G3925">
        <v>2</v>
      </c>
      <c r="H3925" t="s">
        <v>2984</v>
      </c>
      <c r="I3925" t="s">
        <v>25</v>
      </c>
      <c r="J3925" t="s">
        <v>19</v>
      </c>
      <c r="K3925" t="s">
        <v>20</v>
      </c>
      <c r="L3925" t="s">
        <v>9355</v>
      </c>
      <c r="M3925" s="3" t="str">
        <f>HYPERLINK("..\..\Imagery\ScannedPhotos\1987\CG87-464.2.jpg")</f>
        <v>..\..\Imagery\ScannedPhotos\1987\CG87-464.2.jpg</v>
      </c>
    </row>
    <row r="3926" spans="1:14" x14ac:dyDescent="0.25">
      <c r="A3926" t="s">
        <v>9356</v>
      </c>
      <c r="B3926">
        <v>584561</v>
      </c>
      <c r="C3926">
        <v>5790425</v>
      </c>
      <c r="D3926">
        <v>21</v>
      </c>
      <c r="E3926" t="s">
        <v>15</v>
      </c>
      <c r="F3926" t="s">
        <v>9357</v>
      </c>
      <c r="G3926">
        <v>1</v>
      </c>
      <c r="H3926" t="s">
        <v>2984</v>
      </c>
      <c r="I3926" t="s">
        <v>360</v>
      </c>
      <c r="J3926" t="s">
        <v>19</v>
      </c>
      <c r="K3926" t="s">
        <v>20</v>
      </c>
      <c r="L3926" t="s">
        <v>9358</v>
      </c>
      <c r="M3926" s="3" t="str">
        <f>HYPERLINK("..\..\Imagery\ScannedPhotos\1987\CG87-466.jpg")</f>
        <v>..\..\Imagery\ScannedPhotos\1987\CG87-466.jpg</v>
      </c>
    </row>
    <row r="3927" spans="1:14" x14ac:dyDescent="0.25">
      <c r="A3927" t="s">
        <v>32</v>
      </c>
      <c r="B3927">
        <v>596446</v>
      </c>
      <c r="C3927">
        <v>5792950</v>
      </c>
      <c r="D3927">
        <v>21</v>
      </c>
      <c r="E3927" t="s">
        <v>15</v>
      </c>
      <c r="F3927" t="s">
        <v>9359</v>
      </c>
      <c r="G3927">
        <v>40</v>
      </c>
      <c r="K3927" t="s">
        <v>228</v>
      </c>
      <c r="L3927" t="s">
        <v>9360</v>
      </c>
      <c r="M3927" s="3" t="str">
        <f>HYPERLINK("..\..\Imagery\ScannedPhotos\1987\CG87-488.37.jpg")</f>
        <v>..\..\Imagery\ScannedPhotos\1987\CG87-488.37.jpg</v>
      </c>
    </row>
    <row r="3928" spans="1:14" x14ac:dyDescent="0.25">
      <c r="A3928" t="s">
        <v>32</v>
      </c>
      <c r="B3928">
        <v>596446</v>
      </c>
      <c r="C3928">
        <v>5792950</v>
      </c>
      <c r="D3928">
        <v>21</v>
      </c>
      <c r="E3928" t="s">
        <v>15</v>
      </c>
      <c r="F3928" t="s">
        <v>9361</v>
      </c>
      <c r="G3928">
        <v>40</v>
      </c>
      <c r="K3928" t="s">
        <v>228</v>
      </c>
      <c r="L3928" t="s">
        <v>9362</v>
      </c>
      <c r="M3928" s="3" t="str">
        <f>HYPERLINK("..\..\Imagery\ScannedPhotos\1987\CG87-488.38.jpg")</f>
        <v>..\..\Imagery\ScannedPhotos\1987\CG87-488.38.jpg</v>
      </c>
    </row>
    <row r="3929" spans="1:14" x14ac:dyDescent="0.25">
      <c r="A3929" t="s">
        <v>32</v>
      </c>
      <c r="B3929">
        <v>596446</v>
      </c>
      <c r="C3929">
        <v>5792950</v>
      </c>
      <c r="D3929">
        <v>21</v>
      </c>
      <c r="E3929" t="s">
        <v>15</v>
      </c>
      <c r="F3929" t="s">
        <v>9363</v>
      </c>
      <c r="G3929">
        <v>40</v>
      </c>
      <c r="K3929" t="s">
        <v>228</v>
      </c>
      <c r="L3929" t="s">
        <v>9364</v>
      </c>
      <c r="M3929" s="3" t="str">
        <f>HYPERLINK("..\..\Imagery\ScannedPhotos\1987\CG87-488.39.jpg")</f>
        <v>..\..\Imagery\ScannedPhotos\1987\CG87-488.39.jpg</v>
      </c>
    </row>
    <row r="3930" spans="1:14" x14ac:dyDescent="0.25">
      <c r="A3930" t="s">
        <v>32</v>
      </c>
      <c r="B3930">
        <v>596446</v>
      </c>
      <c r="C3930">
        <v>5792950</v>
      </c>
      <c r="D3930">
        <v>21</v>
      </c>
      <c r="E3930" t="s">
        <v>15</v>
      </c>
      <c r="F3930" t="s">
        <v>9365</v>
      </c>
      <c r="G3930">
        <v>40</v>
      </c>
      <c r="K3930" t="s">
        <v>228</v>
      </c>
      <c r="L3930" t="s">
        <v>9366</v>
      </c>
      <c r="M3930" s="3" t="str">
        <f>HYPERLINK("..\..\Imagery\ScannedPhotos\1987\CG87-488.40.jpg")</f>
        <v>..\..\Imagery\ScannedPhotos\1987\CG87-488.40.jpg</v>
      </c>
    </row>
    <row r="3931" spans="1:14" x14ac:dyDescent="0.25">
      <c r="A3931" t="s">
        <v>9198</v>
      </c>
      <c r="B3931">
        <v>476236</v>
      </c>
      <c r="C3931">
        <v>5792075</v>
      </c>
      <c r="D3931">
        <v>21</v>
      </c>
      <c r="E3931" t="s">
        <v>15</v>
      </c>
      <c r="F3931" t="s">
        <v>9367</v>
      </c>
      <c r="G3931">
        <v>5</v>
      </c>
      <c r="H3931" t="s">
        <v>2439</v>
      </c>
      <c r="I3931" t="s">
        <v>25</v>
      </c>
      <c r="J3931" t="s">
        <v>2440</v>
      </c>
      <c r="K3931" t="s">
        <v>228</v>
      </c>
      <c r="L3931" t="s">
        <v>9368</v>
      </c>
      <c r="M3931" s="3" t="str">
        <f>HYPERLINK("..\..\Imagery\ScannedPhotos\1992\CG92-053.5E.jpg")</f>
        <v>..\..\Imagery\ScannedPhotos\1992\CG92-053.5E.jpg</v>
      </c>
      <c r="N3931" t="s">
        <v>1808</v>
      </c>
    </row>
    <row r="3932" spans="1:14" x14ac:dyDescent="0.25">
      <c r="A3932" t="s">
        <v>9198</v>
      </c>
      <c r="B3932">
        <v>476236</v>
      </c>
      <c r="C3932">
        <v>5792075</v>
      </c>
      <c r="D3932">
        <v>21</v>
      </c>
      <c r="E3932" t="s">
        <v>15</v>
      </c>
      <c r="F3932" t="s">
        <v>9369</v>
      </c>
      <c r="G3932">
        <v>5</v>
      </c>
      <c r="H3932" t="s">
        <v>1107</v>
      </c>
      <c r="I3932" t="s">
        <v>294</v>
      </c>
      <c r="J3932" t="s">
        <v>747</v>
      </c>
      <c r="K3932" t="s">
        <v>56</v>
      </c>
      <c r="L3932" t="s">
        <v>9370</v>
      </c>
      <c r="M3932" s="3" t="str">
        <f>HYPERLINK("..\..\Imagery\ScannedPhotos\1992\CG92-053.4E.jpg")</f>
        <v>..\..\Imagery\ScannedPhotos\1992\CG92-053.4E.jpg</v>
      </c>
      <c r="N3932" t="s">
        <v>1808</v>
      </c>
    </row>
    <row r="3933" spans="1:14" x14ac:dyDescent="0.25">
      <c r="A3933" t="s">
        <v>9198</v>
      </c>
      <c r="B3933">
        <v>476236</v>
      </c>
      <c r="C3933">
        <v>5792075</v>
      </c>
      <c r="D3933">
        <v>21</v>
      </c>
      <c r="E3933" t="s">
        <v>15</v>
      </c>
      <c r="F3933" t="s">
        <v>9371</v>
      </c>
      <c r="G3933">
        <v>1</v>
      </c>
      <c r="H3933" t="s">
        <v>746</v>
      </c>
      <c r="I3933" t="s">
        <v>304</v>
      </c>
      <c r="J3933" t="s">
        <v>747</v>
      </c>
      <c r="K3933" t="s">
        <v>535</v>
      </c>
      <c r="L3933" t="s">
        <v>9372</v>
      </c>
      <c r="M3933" s="3" t="str">
        <f>HYPERLINK("..\..\Imagery\ScannedPhotos\1992\CG92-053.3.jpg")</f>
        <v>..\..\Imagery\ScannedPhotos\1992\CG92-053.3.jpg</v>
      </c>
    </row>
    <row r="3934" spans="1:14" x14ac:dyDescent="0.25">
      <c r="A3934" t="s">
        <v>9373</v>
      </c>
      <c r="B3934">
        <v>479582</v>
      </c>
      <c r="C3934">
        <v>5874050</v>
      </c>
      <c r="D3934">
        <v>21</v>
      </c>
      <c r="E3934" t="s">
        <v>15</v>
      </c>
      <c r="F3934" t="s">
        <v>9374</v>
      </c>
      <c r="G3934">
        <v>1</v>
      </c>
      <c r="H3934" t="s">
        <v>2895</v>
      </c>
      <c r="I3934" t="s">
        <v>386</v>
      </c>
      <c r="J3934" t="s">
        <v>2896</v>
      </c>
      <c r="K3934" t="s">
        <v>20</v>
      </c>
      <c r="L3934" t="s">
        <v>9375</v>
      </c>
      <c r="M3934" s="3" t="str">
        <f>HYPERLINK("..\..\Imagery\ScannedPhotos\1984\CG84-344.jpg")</f>
        <v>..\..\Imagery\ScannedPhotos\1984\CG84-344.jpg</v>
      </c>
    </row>
    <row r="3935" spans="1:14" x14ac:dyDescent="0.25">
      <c r="A3935" t="s">
        <v>9376</v>
      </c>
      <c r="B3935">
        <v>480879</v>
      </c>
      <c r="C3935">
        <v>5881381</v>
      </c>
      <c r="D3935">
        <v>21</v>
      </c>
      <c r="E3935" t="s">
        <v>15</v>
      </c>
      <c r="F3935" t="s">
        <v>9377</v>
      </c>
      <c r="G3935">
        <v>1</v>
      </c>
      <c r="H3935" t="s">
        <v>2895</v>
      </c>
      <c r="I3935" t="s">
        <v>217</v>
      </c>
      <c r="J3935" t="s">
        <v>2896</v>
      </c>
      <c r="K3935" t="s">
        <v>56</v>
      </c>
      <c r="L3935" t="s">
        <v>9378</v>
      </c>
      <c r="M3935" s="3" t="str">
        <f>HYPERLINK("..\..\Imagery\ScannedPhotos\1984\CG84-360.jpg")</f>
        <v>..\..\Imagery\ScannedPhotos\1984\CG84-360.jpg</v>
      </c>
    </row>
    <row r="3936" spans="1:14" x14ac:dyDescent="0.25">
      <c r="A3936" t="s">
        <v>9379</v>
      </c>
      <c r="B3936">
        <v>390004</v>
      </c>
      <c r="C3936">
        <v>5988084</v>
      </c>
      <c r="D3936">
        <v>21</v>
      </c>
      <c r="E3936" t="s">
        <v>15</v>
      </c>
      <c r="F3936" t="s">
        <v>9380</v>
      </c>
      <c r="G3936">
        <v>1</v>
      </c>
      <c r="H3936" t="s">
        <v>4559</v>
      </c>
      <c r="I3936" t="s">
        <v>35</v>
      </c>
      <c r="J3936" t="s">
        <v>4560</v>
      </c>
      <c r="K3936" t="s">
        <v>20</v>
      </c>
      <c r="L3936" t="s">
        <v>9381</v>
      </c>
      <c r="M3936" s="3" t="str">
        <f>HYPERLINK("..\..\Imagery\ScannedPhotos\1980\NN80-270.jpg")</f>
        <v>..\..\Imagery\ScannedPhotos\1980\NN80-270.jpg</v>
      </c>
    </row>
    <row r="3937" spans="1:13" x14ac:dyDescent="0.25">
      <c r="A3937" t="s">
        <v>6192</v>
      </c>
      <c r="B3937">
        <v>445824</v>
      </c>
      <c r="C3937">
        <v>5904048</v>
      </c>
      <c r="D3937">
        <v>21</v>
      </c>
      <c r="E3937" t="s">
        <v>15</v>
      </c>
      <c r="F3937" t="s">
        <v>9382</v>
      </c>
      <c r="G3937">
        <v>4</v>
      </c>
      <c r="H3937" t="s">
        <v>2065</v>
      </c>
      <c r="I3937" t="s">
        <v>65</v>
      </c>
      <c r="J3937" t="s">
        <v>156</v>
      </c>
      <c r="K3937" t="s">
        <v>20</v>
      </c>
      <c r="L3937" t="s">
        <v>9383</v>
      </c>
      <c r="M3937" s="3" t="str">
        <f>HYPERLINK("..\..\Imagery\ScannedPhotos\1984\NN84-073.3.jpg")</f>
        <v>..\..\Imagery\ScannedPhotos\1984\NN84-073.3.jpg</v>
      </c>
    </row>
    <row r="3938" spans="1:13" x14ac:dyDescent="0.25">
      <c r="A3938" t="s">
        <v>3131</v>
      </c>
      <c r="B3938">
        <v>406812</v>
      </c>
      <c r="C3938">
        <v>6004126</v>
      </c>
      <c r="D3938">
        <v>21</v>
      </c>
      <c r="E3938" t="s">
        <v>15</v>
      </c>
      <c r="F3938" t="s">
        <v>9384</v>
      </c>
      <c r="G3938">
        <v>27</v>
      </c>
      <c r="H3938" t="s">
        <v>1133</v>
      </c>
      <c r="I3938" t="s">
        <v>401</v>
      </c>
      <c r="J3938" t="s">
        <v>623</v>
      </c>
      <c r="K3938" t="s">
        <v>535</v>
      </c>
      <c r="L3938" t="s">
        <v>9385</v>
      </c>
      <c r="M3938" s="3" t="str">
        <f>HYPERLINK("..\..\Imagery\ScannedPhotos\1980\CG80-102.4.jpg")</f>
        <v>..\..\Imagery\ScannedPhotos\1980\CG80-102.4.jpg</v>
      </c>
    </row>
    <row r="3939" spans="1:13" x14ac:dyDescent="0.25">
      <c r="A3939" t="s">
        <v>9386</v>
      </c>
      <c r="B3939">
        <v>473034</v>
      </c>
      <c r="C3939">
        <v>6007960</v>
      </c>
      <c r="D3939">
        <v>21</v>
      </c>
      <c r="E3939" t="s">
        <v>15</v>
      </c>
      <c r="F3939" t="s">
        <v>9387</v>
      </c>
      <c r="G3939">
        <v>4</v>
      </c>
      <c r="H3939" t="s">
        <v>806</v>
      </c>
      <c r="I3939" t="s">
        <v>143</v>
      </c>
      <c r="J3939" t="s">
        <v>807</v>
      </c>
      <c r="K3939" t="s">
        <v>20</v>
      </c>
      <c r="L3939" t="s">
        <v>9388</v>
      </c>
      <c r="M3939" s="3" t="str">
        <f>HYPERLINK("..\..\Imagery\ScannedPhotos\1980\CG80-694.3.jpg")</f>
        <v>..\..\Imagery\ScannedPhotos\1980\CG80-694.3.jpg</v>
      </c>
    </row>
    <row r="3940" spans="1:13" x14ac:dyDescent="0.25">
      <c r="A3940" t="s">
        <v>9389</v>
      </c>
      <c r="B3940">
        <v>474726</v>
      </c>
      <c r="C3940">
        <v>6007690</v>
      </c>
      <c r="D3940">
        <v>21</v>
      </c>
      <c r="E3940" t="s">
        <v>15</v>
      </c>
      <c r="F3940" t="s">
        <v>9390</v>
      </c>
      <c r="G3940">
        <v>2</v>
      </c>
      <c r="H3940" t="s">
        <v>806</v>
      </c>
      <c r="I3940" t="s">
        <v>47</v>
      </c>
      <c r="J3940" t="s">
        <v>807</v>
      </c>
      <c r="K3940" t="s">
        <v>20</v>
      </c>
      <c r="L3940" t="s">
        <v>5040</v>
      </c>
      <c r="M3940" s="3" t="str">
        <f>HYPERLINK("..\..\Imagery\ScannedPhotos\1980\CG80-697.1.jpg")</f>
        <v>..\..\Imagery\ScannedPhotos\1980\CG80-697.1.jpg</v>
      </c>
    </row>
    <row r="3941" spans="1:13" x14ac:dyDescent="0.25">
      <c r="A3941" t="s">
        <v>9391</v>
      </c>
      <c r="B3941">
        <v>479859</v>
      </c>
      <c r="C3941">
        <v>6010010</v>
      </c>
      <c r="D3941">
        <v>21</v>
      </c>
      <c r="E3941" t="s">
        <v>15</v>
      </c>
      <c r="F3941" t="s">
        <v>9392</v>
      </c>
      <c r="G3941">
        <v>2</v>
      </c>
      <c r="H3941" t="s">
        <v>806</v>
      </c>
      <c r="I3941" t="s">
        <v>65</v>
      </c>
      <c r="J3941" t="s">
        <v>807</v>
      </c>
      <c r="K3941" t="s">
        <v>20</v>
      </c>
      <c r="L3941" t="s">
        <v>9393</v>
      </c>
      <c r="M3941" s="3" t="str">
        <f>HYPERLINK("..\..\Imagery\ScannedPhotos\1980\CG80-698.1.jpg")</f>
        <v>..\..\Imagery\ScannedPhotos\1980\CG80-698.1.jpg</v>
      </c>
    </row>
    <row r="3942" spans="1:13" x14ac:dyDescent="0.25">
      <c r="A3942" t="s">
        <v>9391</v>
      </c>
      <c r="B3942">
        <v>479859</v>
      </c>
      <c r="C3942">
        <v>6010010</v>
      </c>
      <c r="D3942">
        <v>21</v>
      </c>
      <c r="E3942" t="s">
        <v>15</v>
      </c>
      <c r="F3942" t="s">
        <v>9394</v>
      </c>
      <c r="G3942">
        <v>2</v>
      </c>
      <c r="H3942" t="s">
        <v>806</v>
      </c>
      <c r="I3942" t="s">
        <v>401</v>
      </c>
      <c r="J3942" t="s">
        <v>807</v>
      </c>
      <c r="K3942" t="s">
        <v>20</v>
      </c>
      <c r="L3942" t="s">
        <v>9393</v>
      </c>
      <c r="M3942" s="3" t="str">
        <f>HYPERLINK("..\..\Imagery\ScannedPhotos\1980\CG80-698.2.jpg")</f>
        <v>..\..\Imagery\ScannedPhotos\1980\CG80-698.2.jpg</v>
      </c>
    </row>
    <row r="3943" spans="1:13" x14ac:dyDescent="0.25">
      <c r="A3943" t="s">
        <v>1173</v>
      </c>
      <c r="B3943">
        <v>481279</v>
      </c>
      <c r="C3943">
        <v>5983271</v>
      </c>
      <c r="D3943">
        <v>21</v>
      </c>
      <c r="E3943" t="s">
        <v>15</v>
      </c>
      <c r="F3943" t="s">
        <v>9395</v>
      </c>
      <c r="G3943">
        <v>3</v>
      </c>
      <c r="H3943" t="s">
        <v>1175</v>
      </c>
      <c r="I3943" t="s">
        <v>137</v>
      </c>
      <c r="J3943" t="s">
        <v>1176</v>
      </c>
      <c r="K3943" t="s">
        <v>228</v>
      </c>
      <c r="L3943" t="s">
        <v>9396</v>
      </c>
      <c r="M3943" s="3" t="str">
        <f>HYPERLINK("..\..\Imagery\ScannedPhotos\1980\CG80-732.1.jpg")</f>
        <v>..\..\Imagery\ScannedPhotos\1980\CG80-732.1.jpg</v>
      </c>
    </row>
    <row r="3944" spans="1:13" x14ac:dyDescent="0.25">
      <c r="A3944" t="s">
        <v>9397</v>
      </c>
      <c r="B3944">
        <v>443276</v>
      </c>
      <c r="C3944">
        <v>5930826</v>
      </c>
      <c r="D3944">
        <v>21</v>
      </c>
      <c r="E3944" t="s">
        <v>15</v>
      </c>
      <c r="F3944" t="s">
        <v>9398</v>
      </c>
      <c r="G3944">
        <v>1</v>
      </c>
      <c r="H3944" t="s">
        <v>46</v>
      </c>
      <c r="I3944" t="s">
        <v>65</v>
      </c>
      <c r="J3944" t="s">
        <v>48</v>
      </c>
      <c r="K3944" t="s">
        <v>20</v>
      </c>
      <c r="L3944" t="s">
        <v>9399</v>
      </c>
      <c r="M3944" s="3" t="str">
        <f>HYPERLINK("..\..\Imagery\ScannedPhotos\1981\GF81-194.jpg")</f>
        <v>..\..\Imagery\ScannedPhotos\1981\GF81-194.jpg</v>
      </c>
    </row>
    <row r="3945" spans="1:13" x14ac:dyDescent="0.25">
      <c r="A3945" t="s">
        <v>8671</v>
      </c>
      <c r="B3945">
        <v>552793</v>
      </c>
      <c r="C3945">
        <v>5934156</v>
      </c>
      <c r="D3945">
        <v>21</v>
      </c>
      <c r="E3945" t="s">
        <v>15</v>
      </c>
      <c r="F3945" t="s">
        <v>9400</v>
      </c>
      <c r="G3945">
        <v>2</v>
      </c>
      <c r="H3945" t="s">
        <v>1659</v>
      </c>
      <c r="I3945" t="s">
        <v>126</v>
      </c>
      <c r="J3945" t="s">
        <v>48</v>
      </c>
      <c r="K3945" t="s">
        <v>20</v>
      </c>
      <c r="L3945" t="s">
        <v>9401</v>
      </c>
      <c r="M3945" s="3" t="str">
        <f>HYPERLINK("..\..\Imagery\ScannedPhotos\1981\GF81-329.1.jpg")</f>
        <v>..\..\Imagery\ScannedPhotos\1981\GF81-329.1.jpg</v>
      </c>
    </row>
    <row r="3946" spans="1:13" x14ac:dyDescent="0.25">
      <c r="A3946" t="s">
        <v>7723</v>
      </c>
      <c r="B3946">
        <v>368735</v>
      </c>
      <c r="C3946">
        <v>5810708</v>
      </c>
      <c r="D3946">
        <v>21</v>
      </c>
      <c r="E3946" t="s">
        <v>15</v>
      </c>
      <c r="F3946" t="s">
        <v>9402</v>
      </c>
      <c r="G3946">
        <v>4</v>
      </c>
      <c r="H3946" t="s">
        <v>4033</v>
      </c>
      <c r="I3946" t="s">
        <v>195</v>
      </c>
      <c r="J3946" t="s">
        <v>4034</v>
      </c>
      <c r="K3946" t="s">
        <v>535</v>
      </c>
      <c r="L3946" t="s">
        <v>7725</v>
      </c>
      <c r="M3946" s="3" t="str">
        <f>HYPERLINK("..\..\Imagery\ScannedPhotos\1999\CG99-287.4.jpg")</f>
        <v>..\..\Imagery\ScannedPhotos\1999\CG99-287.4.jpg</v>
      </c>
    </row>
    <row r="3947" spans="1:13" x14ac:dyDescent="0.25">
      <c r="A3947" t="s">
        <v>7723</v>
      </c>
      <c r="B3947">
        <v>368735</v>
      </c>
      <c r="C3947">
        <v>5810708</v>
      </c>
      <c r="D3947">
        <v>21</v>
      </c>
      <c r="E3947" t="s">
        <v>15</v>
      </c>
      <c r="F3947" t="s">
        <v>9403</v>
      </c>
      <c r="G3947">
        <v>4</v>
      </c>
      <c r="H3947" t="s">
        <v>4033</v>
      </c>
      <c r="I3947" t="s">
        <v>222</v>
      </c>
      <c r="J3947" t="s">
        <v>4034</v>
      </c>
      <c r="K3947" t="s">
        <v>535</v>
      </c>
      <c r="L3947" t="s">
        <v>7725</v>
      </c>
      <c r="M3947" s="3" t="str">
        <f>HYPERLINK("..\..\Imagery\ScannedPhotos\1999\CG99-287.1.jpg")</f>
        <v>..\..\Imagery\ScannedPhotos\1999\CG99-287.1.jpg</v>
      </c>
    </row>
    <row r="3948" spans="1:13" x14ac:dyDescent="0.25">
      <c r="A3948" t="s">
        <v>9404</v>
      </c>
      <c r="B3948">
        <v>513921</v>
      </c>
      <c r="C3948">
        <v>5722783</v>
      </c>
      <c r="D3948">
        <v>21</v>
      </c>
      <c r="E3948" t="s">
        <v>15</v>
      </c>
      <c r="F3948" t="s">
        <v>9405</v>
      </c>
      <c r="G3948">
        <v>1</v>
      </c>
      <c r="H3948" t="s">
        <v>7220</v>
      </c>
      <c r="I3948" t="s">
        <v>209</v>
      </c>
      <c r="J3948" t="s">
        <v>1738</v>
      </c>
      <c r="K3948" t="s">
        <v>56</v>
      </c>
      <c r="L3948" t="s">
        <v>9406</v>
      </c>
      <c r="M3948" s="3" t="str">
        <f>HYPERLINK("..\..\Imagery\ScannedPhotos\1993\CG93-362.jpg")</f>
        <v>..\..\Imagery\ScannedPhotos\1993\CG93-362.jpg</v>
      </c>
    </row>
    <row r="3949" spans="1:13" x14ac:dyDescent="0.25">
      <c r="A3949" t="s">
        <v>2865</v>
      </c>
      <c r="B3949">
        <v>503291</v>
      </c>
      <c r="C3949">
        <v>5968632</v>
      </c>
      <c r="D3949">
        <v>21</v>
      </c>
      <c r="E3949" t="s">
        <v>15</v>
      </c>
      <c r="F3949" t="s">
        <v>9407</v>
      </c>
      <c r="G3949">
        <v>3</v>
      </c>
      <c r="H3949" t="s">
        <v>1197</v>
      </c>
      <c r="I3949" t="s">
        <v>79</v>
      </c>
      <c r="J3949" t="s">
        <v>48</v>
      </c>
      <c r="K3949" t="s">
        <v>20</v>
      </c>
      <c r="L3949" t="s">
        <v>6265</v>
      </c>
      <c r="M3949" s="3" t="str">
        <f>HYPERLINK("..\..\Imagery\ScannedPhotos\1981\CG81-739.2.jpg")</f>
        <v>..\..\Imagery\ScannedPhotos\1981\CG81-739.2.jpg</v>
      </c>
    </row>
    <row r="3950" spans="1:13" x14ac:dyDescent="0.25">
      <c r="A3950" t="s">
        <v>9408</v>
      </c>
      <c r="B3950">
        <v>502164</v>
      </c>
      <c r="C3950">
        <v>5967605</v>
      </c>
      <c r="D3950">
        <v>21</v>
      </c>
      <c r="E3950" t="s">
        <v>15</v>
      </c>
      <c r="F3950" t="s">
        <v>9409</v>
      </c>
      <c r="G3950">
        <v>1</v>
      </c>
      <c r="H3950" t="s">
        <v>1197</v>
      </c>
      <c r="I3950" t="s">
        <v>137</v>
      </c>
      <c r="J3950" t="s">
        <v>48</v>
      </c>
      <c r="K3950" t="s">
        <v>20</v>
      </c>
      <c r="L3950" t="s">
        <v>6265</v>
      </c>
      <c r="M3950" s="3" t="str">
        <f>HYPERLINK("..\..\Imagery\ScannedPhotos\1981\CG81-740.jpg")</f>
        <v>..\..\Imagery\ScannedPhotos\1981\CG81-740.jpg</v>
      </c>
    </row>
    <row r="3951" spans="1:13" x14ac:dyDescent="0.25">
      <c r="A3951" t="s">
        <v>9410</v>
      </c>
      <c r="B3951">
        <v>498390</v>
      </c>
      <c r="C3951">
        <v>6036659</v>
      </c>
      <c r="D3951">
        <v>21</v>
      </c>
      <c r="E3951" t="s">
        <v>15</v>
      </c>
      <c r="F3951" t="s">
        <v>9411</v>
      </c>
      <c r="G3951">
        <v>5</v>
      </c>
      <c r="H3951" t="s">
        <v>835</v>
      </c>
      <c r="I3951" t="s">
        <v>281</v>
      </c>
      <c r="J3951" t="s">
        <v>423</v>
      </c>
      <c r="K3951" t="s">
        <v>20</v>
      </c>
      <c r="L3951" t="s">
        <v>9412</v>
      </c>
      <c r="M3951" s="3" t="str">
        <f>HYPERLINK("..\..\Imagery\ScannedPhotos\1979\CG79-340.1.jpg")</f>
        <v>..\..\Imagery\ScannedPhotos\1979\CG79-340.1.jpg</v>
      </c>
    </row>
    <row r="3952" spans="1:13" x14ac:dyDescent="0.25">
      <c r="A3952" t="s">
        <v>9413</v>
      </c>
      <c r="B3952">
        <v>486186</v>
      </c>
      <c r="C3952">
        <v>5867559</v>
      </c>
      <c r="D3952">
        <v>21</v>
      </c>
      <c r="E3952" t="s">
        <v>15</v>
      </c>
      <c r="F3952" t="s">
        <v>9414</v>
      </c>
      <c r="G3952">
        <v>3</v>
      </c>
      <c r="H3952" t="s">
        <v>3569</v>
      </c>
      <c r="I3952" t="s">
        <v>386</v>
      </c>
      <c r="J3952" t="s">
        <v>850</v>
      </c>
      <c r="K3952" t="s">
        <v>56</v>
      </c>
      <c r="L3952" t="s">
        <v>2020</v>
      </c>
      <c r="M3952" s="3" t="str">
        <f>HYPERLINK("..\..\Imagery\ScannedPhotos\1991\VN91-059.3.jpg")</f>
        <v>..\..\Imagery\ScannedPhotos\1991\VN91-059.3.jpg</v>
      </c>
    </row>
    <row r="3953" spans="1:13" x14ac:dyDescent="0.25">
      <c r="A3953" t="s">
        <v>9415</v>
      </c>
      <c r="B3953">
        <v>494400</v>
      </c>
      <c r="C3953">
        <v>5843200</v>
      </c>
      <c r="D3953">
        <v>21</v>
      </c>
      <c r="E3953" t="s">
        <v>15</v>
      </c>
      <c r="F3953" t="s">
        <v>9416</v>
      </c>
      <c r="G3953">
        <v>1</v>
      </c>
      <c r="H3953" t="s">
        <v>3569</v>
      </c>
      <c r="I3953" t="s">
        <v>217</v>
      </c>
      <c r="J3953" t="s">
        <v>850</v>
      </c>
      <c r="K3953" t="s">
        <v>56</v>
      </c>
      <c r="L3953" t="s">
        <v>2313</v>
      </c>
      <c r="M3953" s="3" t="str">
        <f>HYPERLINK("..\..\Imagery\ScannedPhotos\1991\VN91-064.jpg")</f>
        <v>..\..\Imagery\ScannedPhotos\1991\VN91-064.jpg</v>
      </c>
    </row>
    <row r="3954" spans="1:13" x14ac:dyDescent="0.25">
      <c r="A3954" t="s">
        <v>4586</v>
      </c>
      <c r="B3954">
        <v>495011</v>
      </c>
      <c r="C3954">
        <v>5841701</v>
      </c>
      <c r="D3954">
        <v>21</v>
      </c>
      <c r="E3954" t="s">
        <v>15</v>
      </c>
      <c r="F3954" t="s">
        <v>9417</v>
      </c>
      <c r="G3954">
        <v>5</v>
      </c>
      <c r="H3954" t="s">
        <v>3569</v>
      </c>
      <c r="I3954" t="s">
        <v>25</v>
      </c>
      <c r="J3954" t="s">
        <v>850</v>
      </c>
      <c r="K3954" t="s">
        <v>56</v>
      </c>
      <c r="L3954" t="s">
        <v>9418</v>
      </c>
      <c r="M3954" s="3" t="str">
        <f>HYPERLINK("..\..\Imagery\ScannedPhotos\1991\VN91-068.5.jpg")</f>
        <v>..\..\Imagery\ScannedPhotos\1991\VN91-068.5.jpg</v>
      </c>
    </row>
    <row r="3955" spans="1:13" x14ac:dyDescent="0.25">
      <c r="A3955" t="s">
        <v>4586</v>
      </c>
      <c r="B3955">
        <v>495011</v>
      </c>
      <c r="C3955">
        <v>5841701</v>
      </c>
      <c r="D3955">
        <v>21</v>
      </c>
      <c r="E3955" t="s">
        <v>15</v>
      </c>
      <c r="F3955" t="s">
        <v>9419</v>
      </c>
      <c r="G3955">
        <v>5</v>
      </c>
      <c r="H3955" t="s">
        <v>3569</v>
      </c>
      <c r="I3955" t="s">
        <v>214</v>
      </c>
      <c r="J3955" t="s">
        <v>850</v>
      </c>
      <c r="K3955" t="s">
        <v>20</v>
      </c>
      <c r="L3955" t="s">
        <v>9420</v>
      </c>
      <c r="M3955" s="3" t="str">
        <f>HYPERLINK("..\..\Imagery\ScannedPhotos\1991\VN91-068.1.jpg")</f>
        <v>..\..\Imagery\ScannedPhotos\1991\VN91-068.1.jpg</v>
      </c>
    </row>
    <row r="3956" spans="1:13" x14ac:dyDescent="0.25">
      <c r="A3956" t="s">
        <v>4586</v>
      </c>
      <c r="B3956">
        <v>495011</v>
      </c>
      <c r="C3956">
        <v>5841701</v>
      </c>
      <c r="D3956">
        <v>21</v>
      </c>
      <c r="E3956" t="s">
        <v>15</v>
      </c>
      <c r="F3956" t="s">
        <v>9421</v>
      </c>
      <c r="G3956">
        <v>5</v>
      </c>
      <c r="H3956" t="s">
        <v>3569</v>
      </c>
      <c r="I3956" t="s">
        <v>195</v>
      </c>
      <c r="J3956" t="s">
        <v>850</v>
      </c>
      <c r="K3956" t="s">
        <v>56</v>
      </c>
      <c r="L3956" t="s">
        <v>9422</v>
      </c>
      <c r="M3956" s="3" t="str">
        <f>HYPERLINK("..\..\Imagery\ScannedPhotos\1991\VN91-068.4.jpg")</f>
        <v>..\..\Imagery\ScannedPhotos\1991\VN91-068.4.jpg</v>
      </c>
    </row>
    <row r="3957" spans="1:13" x14ac:dyDescent="0.25">
      <c r="A3957" t="s">
        <v>856</v>
      </c>
      <c r="B3957">
        <v>490542</v>
      </c>
      <c r="C3957">
        <v>5855198</v>
      </c>
      <c r="D3957">
        <v>21</v>
      </c>
      <c r="E3957" t="s">
        <v>15</v>
      </c>
      <c r="F3957" t="s">
        <v>9423</v>
      </c>
      <c r="G3957">
        <v>7</v>
      </c>
      <c r="H3957" t="s">
        <v>849</v>
      </c>
      <c r="I3957" t="s">
        <v>222</v>
      </c>
      <c r="J3957" t="s">
        <v>850</v>
      </c>
      <c r="K3957" t="s">
        <v>20</v>
      </c>
      <c r="L3957" t="s">
        <v>6025</v>
      </c>
      <c r="M3957" s="3" t="str">
        <f>HYPERLINK("..\..\Imagery\ScannedPhotos\1991\VN91-180.7.jpg")</f>
        <v>..\..\Imagery\ScannedPhotos\1991\VN91-180.7.jpg</v>
      </c>
    </row>
    <row r="3958" spans="1:13" x14ac:dyDescent="0.25">
      <c r="A3958" t="s">
        <v>9424</v>
      </c>
      <c r="B3958">
        <v>503527</v>
      </c>
      <c r="C3958">
        <v>5830700</v>
      </c>
      <c r="D3958">
        <v>21</v>
      </c>
      <c r="E3958" t="s">
        <v>15</v>
      </c>
      <c r="F3958" t="s">
        <v>9425</v>
      </c>
      <c r="G3958">
        <v>2</v>
      </c>
      <c r="H3958" t="s">
        <v>7534</v>
      </c>
      <c r="I3958" t="s">
        <v>137</v>
      </c>
      <c r="J3958" t="s">
        <v>1233</v>
      </c>
      <c r="K3958" t="s">
        <v>56</v>
      </c>
      <c r="L3958" t="s">
        <v>9426</v>
      </c>
      <c r="M3958" s="3" t="str">
        <f>HYPERLINK("..\..\Imagery\ScannedPhotos\1986\CG86-329.1.jpg")</f>
        <v>..\..\Imagery\ScannedPhotos\1986\CG86-329.1.jpg</v>
      </c>
    </row>
    <row r="3959" spans="1:13" x14ac:dyDescent="0.25">
      <c r="A3959" t="s">
        <v>9427</v>
      </c>
      <c r="B3959">
        <v>377263</v>
      </c>
      <c r="C3959">
        <v>5977182</v>
      </c>
      <c r="D3959">
        <v>21</v>
      </c>
      <c r="E3959" t="s">
        <v>15</v>
      </c>
      <c r="F3959" t="s">
        <v>9428</v>
      </c>
      <c r="G3959">
        <v>4</v>
      </c>
      <c r="H3959" t="s">
        <v>622</v>
      </c>
      <c r="I3959" t="s">
        <v>386</v>
      </c>
      <c r="J3959" t="s">
        <v>623</v>
      </c>
      <c r="K3959" t="s">
        <v>20</v>
      </c>
      <c r="L3959" t="s">
        <v>9429</v>
      </c>
      <c r="M3959" s="3" t="str">
        <f>HYPERLINK("..\..\Imagery\ScannedPhotos\1980\NN80-157.1.jpg")</f>
        <v>..\..\Imagery\ScannedPhotos\1980\NN80-157.1.jpg</v>
      </c>
    </row>
    <row r="3960" spans="1:13" x14ac:dyDescent="0.25">
      <c r="A3960" t="s">
        <v>9427</v>
      </c>
      <c r="B3960">
        <v>377263</v>
      </c>
      <c r="C3960">
        <v>5977182</v>
      </c>
      <c r="D3960">
        <v>21</v>
      </c>
      <c r="E3960" t="s">
        <v>15</v>
      </c>
      <c r="F3960" t="s">
        <v>9430</v>
      </c>
      <c r="G3960">
        <v>4</v>
      </c>
      <c r="H3960" t="s">
        <v>622</v>
      </c>
      <c r="I3960" t="s">
        <v>217</v>
      </c>
      <c r="J3960" t="s">
        <v>623</v>
      </c>
      <c r="K3960" t="s">
        <v>56</v>
      </c>
      <c r="L3960" t="s">
        <v>7011</v>
      </c>
      <c r="M3960" s="3" t="str">
        <f>HYPERLINK("..\..\Imagery\ScannedPhotos\1980\NN80-157.2.jpg")</f>
        <v>..\..\Imagery\ScannedPhotos\1980\NN80-157.2.jpg</v>
      </c>
    </row>
    <row r="3961" spans="1:13" x14ac:dyDescent="0.25">
      <c r="A3961" t="s">
        <v>9427</v>
      </c>
      <c r="B3961">
        <v>377263</v>
      </c>
      <c r="C3961">
        <v>5977182</v>
      </c>
      <c r="D3961">
        <v>21</v>
      </c>
      <c r="E3961" t="s">
        <v>15</v>
      </c>
      <c r="F3961" t="s">
        <v>9431</v>
      </c>
      <c r="G3961">
        <v>4</v>
      </c>
      <c r="H3961" t="s">
        <v>622</v>
      </c>
      <c r="I3961" t="s">
        <v>214</v>
      </c>
      <c r="J3961" t="s">
        <v>623</v>
      </c>
      <c r="K3961" t="s">
        <v>20</v>
      </c>
      <c r="L3961" t="s">
        <v>9432</v>
      </c>
      <c r="M3961" s="3" t="str">
        <f>HYPERLINK("..\..\Imagery\ScannedPhotos\1980\NN80-157.3.jpg")</f>
        <v>..\..\Imagery\ScannedPhotos\1980\NN80-157.3.jpg</v>
      </c>
    </row>
    <row r="3962" spans="1:13" x14ac:dyDescent="0.25">
      <c r="A3962" t="s">
        <v>9427</v>
      </c>
      <c r="B3962">
        <v>377263</v>
      </c>
      <c r="C3962">
        <v>5977182</v>
      </c>
      <c r="D3962">
        <v>21</v>
      </c>
      <c r="E3962" t="s">
        <v>15</v>
      </c>
      <c r="F3962" t="s">
        <v>9433</v>
      </c>
      <c r="G3962">
        <v>4</v>
      </c>
      <c r="H3962" t="s">
        <v>622</v>
      </c>
      <c r="I3962" t="s">
        <v>222</v>
      </c>
      <c r="J3962" t="s">
        <v>623</v>
      </c>
      <c r="K3962" t="s">
        <v>20</v>
      </c>
      <c r="L3962" t="s">
        <v>9434</v>
      </c>
      <c r="M3962" s="3" t="str">
        <f>HYPERLINK("..\..\Imagery\ScannedPhotos\1980\NN80-157.4.jpg")</f>
        <v>..\..\Imagery\ScannedPhotos\1980\NN80-157.4.jpg</v>
      </c>
    </row>
    <row r="3963" spans="1:13" x14ac:dyDescent="0.25">
      <c r="A3963" t="s">
        <v>2697</v>
      </c>
      <c r="B3963">
        <v>497631</v>
      </c>
      <c r="C3963">
        <v>5848820</v>
      </c>
      <c r="D3963">
        <v>21</v>
      </c>
      <c r="E3963" t="s">
        <v>15</v>
      </c>
      <c r="F3963" t="s">
        <v>9435</v>
      </c>
      <c r="G3963">
        <v>2</v>
      </c>
      <c r="H3963" t="s">
        <v>1128</v>
      </c>
      <c r="I3963" t="s">
        <v>69</v>
      </c>
      <c r="J3963" t="s">
        <v>1129</v>
      </c>
      <c r="K3963" t="s">
        <v>56</v>
      </c>
      <c r="L3963" t="s">
        <v>2699</v>
      </c>
      <c r="M3963" s="3" t="str">
        <f>HYPERLINK("..\..\Imagery\ScannedPhotos\1991\VN91-095.2.jpg")</f>
        <v>..\..\Imagery\ScannedPhotos\1991\VN91-095.2.jpg</v>
      </c>
    </row>
    <row r="3964" spans="1:13" x14ac:dyDescent="0.25">
      <c r="A3964" t="s">
        <v>9436</v>
      </c>
      <c r="B3964">
        <v>398083</v>
      </c>
      <c r="C3964">
        <v>5991095</v>
      </c>
      <c r="D3964">
        <v>21</v>
      </c>
      <c r="E3964" t="s">
        <v>15</v>
      </c>
      <c r="F3964" t="s">
        <v>9437</v>
      </c>
      <c r="G3964">
        <v>2</v>
      </c>
      <c r="H3964" t="s">
        <v>1133</v>
      </c>
      <c r="I3964" t="s">
        <v>214</v>
      </c>
      <c r="J3964" t="s">
        <v>623</v>
      </c>
      <c r="K3964" t="s">
        <v>20</v>
      </c>
      <c r="L3964" t="s">
        <v>9438</v>
      </c>
      <c r="M3964" s="3" t="str">
        <f>HYPERLINK("..\..\Imagery\ScannedPhotos\1980\CG80-189.2.jpg")</f>
        <v>..\..\Imagery\ScannedPhotos\1980\CG80-189.2.jpg</v>
      </c>
    </row>
    <row r="3965" spans="1:13" x14ac:dyDescent="0.25">
      <c r="A3965" t="s">
        <v>9436</v>
      </c>
      <c r="B3965">
        <v>398083</v>
      </c>
      <c r="C3965">
        <v>5991095</v>
      </c>
      <c r="D3965">
        <v>21</v>
      </c>
      <c r="E3965" t="s">
        <v>15</v>
      </c>
      <c r="F3965" t="s">
        <v>9439</v>
      </c>
      <c r="G3965">
        <v>2</v>
      </c>
      <c r="H3965" t="s">
        <v>1133</v>
      </c>
      <c r="I3965" t="s">
        <v>217</v>
      </c>
      <c r="J3965" t="s">
        <v>623</v>
      </c>
      <c r="K3965" t="s">
        <v>20</v>
      </c>
      <c r="L3965" t="s">
        <v>2653</v>
      </c>
      <c r="M3965" s="3" t="str">
        <f>HYPERLINK("..\..\Imagery\ScannedPhotos\1980\CG80-189.1.jpg")</f>
        <v>..\..\Imagery\ScannedPhotos\1980\CG80-189.1.jpg</v>
      </c>
    </row>
    <row r="3966" spans="1:13" x14ac:dyDescent="0.25">
      <c r="A3966" t="s">
        <v>3993</v>
      </c>
      <c r="B3966">
        <v>412381</v>
      </c>
      <c r="C3966">
        <v>5986534</v>
      </c>
      <c r="D3966">
        <v>21</v>
      </c>
      <c r="E3966" t="s">
        <v>15</v>
      </c>
      <c r="F3966" t="s">
        <v>9440</v>
      </c>
      <c r="G3966">
        <v>6</v>
      </c>
      <c r="H3966" t="s">
        <v>268</v>
      </c>
      <c r="I3966" t="s">
        <v>126</v>
      </c>
      <c r="J3966" t="s">
        <v>269</v>
      </c>
      <c r="K3966" t="s">
        <v>56</v>
      </c>
      <c r="L3966" t="s">
        <v>3995</v>
      </c>
      <c r="M3966" s="3" t="str">
        <f>HYPERLINK("..\..\Imagery\ScannedPhotos\1980\CG80-422.6.jpg")</f>
        <v>..\..\Imagery\ScannedPhotos\1980\CG80-422.6.jpg</v>
      </c>
    </row>
    <row r="3967" spans="1:13" x14ac:dyDescent="0.25">
      <c r="A3967" t="s">
        <v>3993</v>
      </c>
      <c r="B3967">
        <v>412381</v>
      </c>
      <c r="C3967">
        <v>5986534</v>
      </c>
      <c r="D3967">
        <v>21</v>
      </c>
      <c r="E3967" t="s">
        <v>15</v>
      </c>
      <c r="F3967" t="s">
        <v>9441</v>
      </c>
      <c r="G3967">
        <v>6</v>
      </c>
      <c r="H3967" t="s">
        <v>268</v>
      </c>
      <c r="I3967" t="s">
        <v>647</v>
      </c>
      <c r="J3967" t="s">
        <v>269</v>
      </c>
      <c r="K3967" t="s">
        <v>56</v>
      </c>
      <c r="L3967" t="s">
        <v>3995</v>
      </c>
      <c r="M3967" s="3" t="str">
        <f>HYPERLINK("..\..\Imagery\ScannedPhotos\1980\CG80-422.1.jpg")</f>
        <v>..\..\Imagery\ScannedPhotos\1980\CG80-422.1.jpg</v>
      </c>
    </row>
    <row r="3968" spans="1:13" x14ac:dyDescent="0.25">
      <c r="A3968" t="s">
        <v>9442</v>
      </c>
      <c r="B3968">
        <v>571121</v>
      </c>
      <c r="C3968">
        <v>5822899</v>
      </c>
      <c r="D3968">
        <v>21</v>
      </c>
      <c r="E3968" t="s">
        <v>15</v>
      </c>
      <c r="F3968" t="s">
        <v>9443</v>
      </c>
      <c r="G3968">
        <v>2</v>
      </c>
      <c r="H3968" t="s">
        <v>2291</v>
      </c>
      <c r="I3968" t="s">
        <v>137</v>
      </c>
      <c r="J3968" t="s">
        <v>2292</v>
      </c>
      <c r="K3968" t="s">
        <v>20</v>
      </c>
      <c r="L3968" t="s">
        <v>9444</v>
      </c>
      <c r="M3968" s="3" t="str">
        <f>HYPERLINK("..\..\Imagery\ScannedPhotos\1986\SN86-429.1.jpg")</f>
        <v>..\..\Imagery\ScannedPhotos\1986\SN86-429.1.jpg</v>
      </c>
    </row>
    <row r="3969" spans="1:13" x14ac:dyDescent="0.25">
      <c r="A3969" t="s">
        <v>9442</v>
      </c>
      <c r="B3969">
        <v>571121</v>
      </c>
      <c r="C3969">
        <v>5822899</v>
      </c>
      <c r="D3969">
        <v>21</v>
      </c>
      <c r="E3969" t="s">
        <v>15</v>
      </c>
      <c r="F3969" t="s">
        <v>9445</v>
      </c>
      <c r="G3969">
        <v>2</v>
      </c>
      <c r="H3969" t="s">
        <v>2291</v>
      </c>
      <c r="I3969" t="s">
        <v>18</v>
      </c>
      <c r="J3969" t="s">
        <v>2292</v>
      </c>
      <c r="K3969" t="s">
        <v>56</v>
      </c>
      <c r="L3969" t="s">
        <v>1020</v>
      </c>
      <c r="M3969" s="3" t="str">
        <f>HYPERLINK("..\..\Imagery\ScannedPhotos\1986\SN86-429.2.jpg")</f>
        <v>..\..\Imagery\ScannedPhotos\1986\SN86-429.2.jpg</v>
      </c>
    </row>
    <row r="3970" spans="1:13" x14ac:dyDescent="0.25">
      <c r="A3970" t="s">
        <v>9446</v>
      </c>
      <c r="B3970">
        <v>569933</v>
      </c>
      <c r="C3970">
        <v>5822962</v>
      </c>
      <c r="D3970">
        <v>21</v>
      </c>
      <c r="E3970" t="s">
        <v>15</v>
      </c>
      <c r="F3970" t="s">
        <v>9447</v>
      </c>
      <c r="G3970">
        <v>1</v>
      </c>
      <c r="H3970" t="s">
        <v>2291</v>
      </c>
      <c r="I3970" t="s">
        <v>35</v>
      </c>
      <c r="J3970" t="s">
        <v>2292</v>
      </c>
      <c r="K3970" t="s">
        <v>56</v>
      </c>
      <c r="L3970" t="s">
        <v>9448</v>
      </c>
      <c r="M3970" s="3" t="str">
        <f>HYPERLINK("..\..\Imagery\ScannedPhotos\1986\SN86-430.jpg")</f>
        <v>..\..\Imagery\ScannedPhotos\1986\SN86-430.jpg</v>
      </c>
    </row>
    <row r="3971" spans="1:13" x14ac:dyDescent="0.25">
      <c r="A3971" t="s">
        <v>9449</v>
      </c>
      <c r="B3971">
        <v>480966</v>
      </c>
      <c r="C3971">
        <v>5924316</v>
      </c>
      <c r="D3971">
        <v>21</v>
      </c>
      <c r="E3971" t="s">
        <v>15</v>
      </c>
      <c r="F3971" t="s">
        <v>9450</v>
      </c>
      <c r="G3971">
        <v>1</v>
      </c>
      <c r="H3971" t="s">
        <v>2995</v>
      </c>
      <c r="I3971" t="s">
        <v>304</v>
      </c>
      <c r="J3971" t="s">
        <v>156</v>
      </c>
      <c r="K3971" t="s">
        <v>20</v>
      </c>
      <c r="L3971" t="s">
        <v>9451</v>
      </c>
      <c r="M3971" s="3" t="str">
        <f>HYPERLINK("..\..\Imagery\ScannedPhotos\1984\VN84-007.jpg")</f>
        <v>..\..\Imagery\ScannedPhotos\1984\VN84-007.jpg</v>
      </c>
    </row>
    <row r="3972" spans="1:13" x14ac:dyDescent="0.25">
      <c r="A3972" t="s">
        <v>7790</v>
      </c>
      <c r="B3972">
        <v>494005</v>
      </c>
      <c r="C3972">
        <v>5895940</v>
      </c>
      <c r="D3972">
        <v>21</v>
      </c>
      <c r="E3972" t="s">
        <v>15</v>
      </c>
      <c r="F3972" t="s">
        <v>9452</v>
      </c>
      <c r="G3972">
        <v>2</v>
      </c>
      <c r="H3972" t="s">
        <v>4058</v>
      </c>
      <c r="I3972" t="s">
        <v>375</v>
      </c>
      <c r="J3972" t="s">
        <v>2247</v>
      </c>
      <c r="K3972" t="s">
        <v>56</v>
      </c>
      <c r="L3972" t="s">
        <v>9453</v>
      </c>
      <c r="M3972" s="3" t="str">
        <f>HYPERLINK("..\..\Imagery\ScannedPhotos\1984\VN84-190.2.jpg")</f>
        <v>..\..\Imagery\ScannedPhotos\1984\VN84-190.2.jpg</v>
      </c>
    </row>
    <row r="3973" spans="1:13" x14ac:dyDescent="0.25">
      <c r="A3973" t="s">
        <v>9454</v>
      </c>
      <c r="B3973">
        <v>493236</v>
      </c>
      <c r="C3973">
        <v>5895931</v>
      </c>
      <c r="D3973">
        <v>21</v>
      </c>
      <c r="E3973" t="s">
        <v>15</v>
      </c>
      <c r="F3973" t="s">
        <v>9455</v>
      </c>
      <c r="G3973">
        <v>2</v>
      </c>
      <c r="H3973" t="s">
        <v>2912</v>
      </c>
      <c r="I3973" t="s">
        <v>304</v>
      </c>
      <c r="J3973" t="s">
        <v>2913</v>
      </c>
      <c r="K3973" t="s">
        <v>20</v>
      </c>
      <c r="L3973" t="s">
        <v>9456</v>
      </c>
      <c r="M3973" s="3" t="str">
        <f>HYPERLINK("..\..\Imagery\ScannedPhotos\1984\VN84-192.1.jpg")</f>
        <v>..\..\Imagery\ScannedPhotos\1984\VN84-192.1.jpg</v>
      </c>
    </row>
    <row r="3974" spans="1:13" x14ac:dyDescent="0.25">
      <c r="A3974" t="s">
        <v>9457</v>
      </c>
      <c r="B3974">
        <v>525579</v>
      </c>
      <c r="C3974">
        <v>5720461</v>
      </c>
      <c r="D3974">
        <v>21</v>
      </c>
      <c r="E3974" t="s">
        <v>15</v>
      </c>
      <c r="F3974" t="s">
        <v>9458</v>
      </c>
      <c r="G3974">
        <v>2</v>
      </c>
      <c r="H3974" t="s">
        <v>2418</v>
      </c>
      <c r="I3974" t="s">
        <v>304</v>
      </c>
      <c r="J3974" t="s">
        <v>570</v>
      </c>
      <c r="K3974" t="s">
        <v>56</v>
      </c>
      <c r="L3974" t="s">
        <v>9459</v>
      </c>
      <c r="M3974" s="3" t="str">
        <f>HYPERLINK("..\..\Imagery\ScannedPhotos\1993\VN93-106.2.jpg")</f>
        <v>..\..\Imagery\ScannedPhotos\1993\VN93-106.2.jpg</v>
      </c>
    </row>
    <row r="3975" spans="1:13" x14ac:dyDescent="0.25">
      <c r="A3975" t="s">
        <v>14</v>
      </c>
      <c r="B3975">
        <v>551495</v>
      </c>
      <c r="C3975">
        <v>5821595</v>
      </c>
      <c r="D3975">
        <v>21</v>
      </c>
      <c r="E3975" t="s">
        <v>15</v>
      </c>
      <c r="F3975" t="s">
        <v>9460</v>
      </c>
      <c r="G3975">
        <v>16</v>
      </c>
      <c r="H3975" t="s">
        <v>17</v>
      </c>
      <c r="I3975" t="s">
        <v>69</v>
      </c>
      <c r="J3975" t="s">
        <v>19</v>
      </c>
      <c r="K3975" t="s">
        <v>20</v>
      </c>
      <c r="L3975" t="s">
        <v>3116</v>
      </c>
      <c r="M3975" s="3" t="str">
        <f>HYPERLINK("..\..\Imagery\ScannedPhotos\1986\CG86-018.14.jpg")</f>
        <v>..\..\Imagery\ScannedPhotos\1986\CG86-018.14.jpg</v>
      </c>
    </row>
    <row r="3976" spans="1:13" x14ac:dyDescent="0.25">
      <c r="A3976" t="s">
        <v>14</v>
      </c>
      <c r="B3976">
        <v>551495</v>
      </c>
      <c r="C3976">
        <v>5821595</v>
      </c>
      <c r="D3976">
        <v>21</v>
      </c>
      <c r="E3976" t="s">
        <v>15</v>
      </c>
      <c r="F3976" t="s">
        <v>9461</v>
      </c>
      <c r="G3976">
        <v>16</v>
      </c>
      <c r="H3976" t="s">
        <v>1066</v>
      </c>
      <c r="I3976" t="s">
        <v>47</v>
      </c>
      <c r="J3976" t="s">
        <v>36</v>
      </c>
      <c r="K3976" t="s">
        <v>20</v>
      </c>
      <c r="L3976" t="s">
        <v>9462</v>
      </c>
      <c r="M3976" s="3" t="str">
        <f>HYPERLINK("..\..\Imagery\ScannedPhotos\1986\CG86-018.6.jpg")</f>
        <v>..\..\Imagery\ScannedPhotos\1986\CG86-018.6.jpg</v>
      </c>
    </row>
    <row r="3977" spans="1:13" x14ac:dyDescent="0.25">
      <c r="A3977" t="s">
        <v>9463</v>
      </c>
      <c r="B3977">
        <v>512370</v>
      </c>
      <c r="C3977">
        <v>5953219</v>
      </c>
      <c r="D3977">
        <v>21</v>
      </c>
      <c r="E3977" t="s">
        <v>15</v>
      </c>
      <c r="F3977" t="s">
        <v>9464</v>
      </c>
      <c r="G3977">
        <v>2</v>
      </c>
      <c r="H3977" t="s">
        <v>3158</v>
      </c>
      <c r="I3977" t="s">
        <v>214</v>
      </c>
      <c r="J3977" t="s">
        <v>48</v>
      </c>
      <c r="K3977" t="s">
        <v>20</v>
      </c>
      <c r="L3977" t="s">
        <v>3459</v>
      </c>
      <c r="M3977" s="3" t="str">
        <f>HYPERLINK("..\..\Imagery\ScannedPhotos\1981\VO81-540.2.jpg")</f>
        <v>..\..\Imagery\ScannedPhotos\1981\VO81-540.2.jpg</v>
      </c>
    </row>
    <row r="3978" spans="1:13" x14ac:dyDescent="0.25">
      <c r="A3978" t="s">
        <v>9463</v>
      </c>
      <c r="B3978">
        <v>512370</v>
      </c>
      <c r="C3978">
        <v>5953219</v>
      </c>
      <c r="D3978">
        <v>21</v>
      </c>
      <c r="E3978" t="s">
        <v>15</v>
      </c>
      <c r="F3978" t="s">
        <v>9465</v>
      </c>
      <c r="G3978">
        <v>2</v>
      </c>
      <c r="H3978" t="s">
        <v>3158</v>
      </c>
      <c r="I3978" t="s">
        <v>217</v>
      </c>
      <c r="J3978" t="s">
        <v>48</v>
      </c>
      <c r="K3978" t="s">
        <v>20</v>
      </c>
      <c r="L3978" t="s">
        <v>1370</v>
      </c>
      <c r="M3978" s="3" t="str">
        <f>HYPERLINK("..\..\Imagery\ScannedPhotos\1981\VO81-540.1.jpg")</f>
        <v>..\..\Imagery\ScannedPhotos\1981\VO81-540.1.jpg</v>
      </c>
    </row>
    <row r="3979" spans="1:13" x14ac:dyDescent="0.25">
      <c r="A3979" t="s">
        <v>9466</v>
      </c>
      <c r="B3979">
        <v>533170</v>
      </c>
      <c r="C3979">
        <v>5941363</v>
      </c>
      <c r="D3979">
        <v>21</v>
      </c>
      <c r="E3979" t="s">
        <v>15</v>
      </c>
      <c r="F3979" t="s">
        <v>9467</v>
      </c>
      <c r="G3979">
        <v>2</v>
      </c>
      <c r="H3979" t="s">
        <v>4724</v>
      </c>
      <c r="I3979" t="s">
        <v>367</v>
      </c>
      <c r="J3979" t="s">
        <v>48</v>
      </c>
      <c r="K3979" t="s">
        <v>20</v>
      </c>
      <c r="L3979" t="s">
        <v>9468</v>
      </c>
      <c r="M3979" s="3" t="str">
        <f>HYPERLINK("..\..\Imagery\ScannedPhotos\1981\VO81-556.1.jpg")</f>
        <v>..\..\Imagery\ScannedPhotos\1981\VO81-556.1.jpg</v>
      </c>
    </row>
    <row r="3980" spans="1:13" x14ac:dyDescent="0.25">
      <c r="A3980" t="s">
        <v>9466</v>
      </c>
      <c r="B3980">
        <v>533170</v>
      </c>
      <c r="C3980">
        <v>5941363</v>
      </c>
      <c r="D3980">
        <v>21</v>
      </c>
      <c r="E3980" t="s">
        <v>15</v>
      </c>
      <c r="F3980" t="s">
        <v>9469</v>
      </c>
      <c r="G3980">
        <v>2</v>
      </c>
      <c r="H3980" t="s">
        <v>817</v>
      </c>
      <c r="I3980" t="s">
        <v>137</v>
      </c>
      <c r="J3980" t="s">
        <v>48</v>
      </c>
      <c r="K3980" t="s">
        <v>20</v>
      </c>
      <c r="L3980" t="s">
        <v>9470</v>
      </c>
      <c r="M3980" s="3" t="str">
        <f>HYPERLINK("..\..\Imagery\ScannedPhotos\1981\VO81-556.2.jpg")</f>
        <v>..\..\Imagery\ScannedPhotos\1981\VO81-556.2.jpg</v>
      </c>
    </row>
    <row r="3981" spans="1:13" x14ac:dyDescent="0.25">
      <c r="A3981" t="s">
        <v>9471</v>
      </c>
      <c r="B3981">
        <v>532984</v>
      </c>
      <c r="C3981">
        <v>5941543</v>
      </c>
      <c r="D3981">
        <v>21</v>
      </c>
      <c r="E3981" t="s">
        <v>15</v>
      </c>
      <c r="F3981" t="s">
        <v>9472</v>
      </c>
      <c r="G3981">
        <v>4</v>
      </c>
      <c r="H3981" t="s">
        <v>817</v>
      </c>
      <c r="I3981" t="s">
        <v>35</v>
      </c>
      <c r="J3981" t="s">
        <v>48</v>
      </c>
      <c r="K3981" t="s">
        <v>20</v>
      </c>
      <c r="L3981" t="s">
        <v>9473</v>
      </c>
      <c r="M3981" s="3" t="str">
        <f>HYPERLINK("..\..\Imagery\ScannedPhotos\1981\VO81-562.4.jpg")</f>
        <v>..\..\Imagery\ScannedPhotos\1981\VO81-562.4.jpg</v>
      </c>
    </row>
    <row r="3982" spans="1:13" x14ac:dyDescent="0.25">
      <c r="A3982" t="s">
        <v>9471</v>
      </c>
      <c r="B3982">
        <v>532984</v>
      </c>
      <c r="C3982">
        <v>5941543</v>
      </c>
      <c r="D3982">
        <v>21</v>
      </c>
      <c r="E3982" t="s">
        <v>15</v>
      </c>
      <c r="F3982" t="s">
        <v>9474</v>
      </c>
      <c r="G3982">
        <v>4</v>
      </c>
      <c r="H3982" t="s">
        <v>817</v>
      </c>
      <c r="I3982" t="s">
        <v>281</v>
      </c>
      <c r="J3982" t="s">
        <v>48</v>
      </c>
      <c r="K3982" t="s">
        <v>20</v>
      </c>
      <c r="L3982" t="s">
        <v>9475</v>
      </c>
      <c r="M3982" s="3" t="str">
        <f>HYPERLINK("..\..\Imagery\ScannedPhotos\1981\VO81-562.2.jpg")</f>
        <v>..\..\Imagery\ScannedPhotos\1981\VO81-562.2.jpg</v>
      </c>
    </row>
    <row r="3983" spans="1:13" x14ac:dyDescent="0.25">
      <c r="A3983" t="s">
        <v>9471</v>
      </c>
      <c r="B3983">
        <v>532984</v>
      </c>
      <c r="C3983">
        <v>5941543</v>
      </c>
      <c r="D3983">
        <v>21</v>
      </c>
      <c r="E3983" t="s">
        <v>15</v>
      </c>
      <c r="F3983" t="s">
        <v>9476</v>
      </c>
      <c r="G3983">
        <v>4</v>
      </c>
      <c r="H3983" t="s">
        <v>817</v>
      </c>
      <c r="I3983" t="s">
        <v>79</v>
      </c>
      <c r="J3983" t="s">
        <v>48</v>
      </c>
      <c r="K3983" t="s">
        <v>20</v>
      </c>
      <c r="L3983" t="s">
        <v>9475</v>
      </c>
      <c r="M3983" s="3" t="str">
        <f>HYPERLINK("..\..\Imagery\ScannedPhotos\1981\VO81-562.1.jpg")</f>
        <v>..\..\Imagery\ScannedPhotos\1981\VO81-562.1.jpg</v>
      </c>
    </row>
    <row r="3984" spans="1:13" x14ac:dyDescent="0.25">
      <c r="A3984" t="s">
        <v>9471</v>
      </c>
      <c r="B3984">
        <v>532984</v>
      </c>
      <c r="C3984">
        <v>5941543</v>
      </c>
      <c r="D3984">
        <v>21</v>
      </c>
      <c r="E3984" t="s">
        <v>15</v>
      </c>
      <c r="F3984" t="s">
        <v>9477</v>
      </c>
      <c r="G3984">
        <v>4</v>
      </c>
      <c r="H3984" t="s">
        <v>817</v>
      </c>
      <c r="I3984" t="s">
        <v>18</v>
      </c>
      <c r="J3984" t="s">
        <v>48</v>
      </c>
      <c r="K3984" t="s">
        <v>20</v>
      </c>
      <c r="L3984" t="s">
        <v>9473</v>
      </c>
      <c r="M3984" s="3" t="str">
        <f>HYPERLINK("..\..\Imagery\ScannedPhotos\1981\VO81-562.3.jpg")</f>
        <v>..\..\Imagery\ScannedPhotos\1981\VO81-562.3.jpg</v>
      </c>
    </row>
    <row r="3985" spans="1:13" x14ac:dyDescent="0.25">
      <c r="A3985" t="s">
        <v>9478</v>
      </c>
      <c r="B3985">
        <v>476771</v>
      </c>
      <c r="C3985">
        <v>5992583</v>
      </c>
      <c r="D3985">
        <v>21</v>
      </c>
      <c r="E3985" t="s">
        <v>15</v>
      </c>
      <c r="F3985" t="s">
        <v>9479</v>
      </c>
      <c r="G3985">
        <v>2</v>
      </c>
      <c r="H3985" t="s">
        <v>806</v>
      </c>
      <c r="I3985" t="s">
        <v>647</v>
      </c>
      <c r="J3985" t="s">
        <v>807</v>
      </c>
      <c r="K3985" t="s">
        <v>20</v>
      </c>
      <c r="L3985" t="s">
        <v>9480</v>
      </c>
      <c r="M3985" s="3" t="str">
        <f>HYPERLINK("..\..\Imagery\ScannedPhotos\1980\CG80-639.2.jpg")</f>
        <v>..\..\Imagery\ScannedPhotos\1980\CG80-639.2.jpg</v>
      </c>
    </row>
    <row r="3986" spans="1:13" x14ac:dyDescent="0.25">
      <c r="A3986" t="s">
        <v>9481</v>
      </c>
      <c r="B3986">
        <v>405542</v>
      </c>
      <c r="C3986">
        <v>5987719</v>
      </c>
      <c r="D3986">
        <v>21</v>
      </c>
      <c r="E3986" t="s">
        <v>15</v>
      </c>
      <c r="F3986" t="s">
        <v>9482</v>
      </c>
      <c r="G3986">
        <v>1</v>
      </c>
      <c r="H3986" t="s">
        <v>2967</v>
      </c>
      <c r="I3986" t="s">
        <v>69</v>
      </c>
      <c r="J3986" t="s">
        <v>2968</v>
      </c>
      <c r="K3986" t="s">
        <v>20</v>
      </c>
      <c r="L3986" t="s">
        <v>4867</v>
      </c>
      <c r="M3986" s="3" t="str">
        <f>HYPERLINK("..\..\Imagery\ScannedPhotos\1980\RG80-093.jpg")</f>
        <v>..\..\Imagery\ScannedPhotos\1980\RG80-093.jpg</v>
      </c>
    </row>
    <row r="3987" spans="1:13" x14ac:dyDescent="0.25">
      <c r="A3987" t="s">
        <v>9483</v>
      </c>
      <c r="B3987">
        <v>406554</v>
      </c>
      <c r="C3987">
        <v>5987321</v>
      </c>
      <c r="D3987">
        <v>21</v>
      </c>
      <c r="E3987" t="s">
        <v>15</v>
      </c>
      <c r="F3987" t="s">
        <v>9484</v>
      </c>
      <c r="G3987">
        <v>1</v>
      </c>
      <c r="H3987" t="s">
        <v>2967</v>
      </c>
      <c r="I3987" t="s">
        <v>74</v>
      </c>
      <c r="J3987" t="s">
        <v>2968</v>
      </c>
      <c r="K3987" t="s">
        <v>20</v>
      </c>
      <c r="L3987" t="s">
        <v>9485</v>
      </c>
      <c r="M3987" s="3" t="str">
        <f>HYPERLINK("..\..\Imagery\ScannedPhotos\1980\RG80-096.jpg")</f>
        <v>..\..\Imagery\ScannedPhotos\1980\RG80-096.jpg</v>
      </c>
    </row>
    <row r="3988" spans="1:13" x14ac:dyDescent="0.25">
      <c r="A3988" t="s">
        <v>9486</v>
      </c>
      <c r="B3988">
        <v>408182</v>
      </c>
      <c r="C3988">
        <v>5987239</v>
      </c>
      <c r="D3988">
        <v>21</v>
      </c>
      <c r="E3988" t="s">
        <v>15</v>
      </c>
      <c r="F3988" t="s">
        <v>9487</v>
      </c>
      <c r="G3988">
        <v>2</v>
      </c>
      <c r="H3988" t="s">
        <v>2967</v>
      </c>
      <c r="I3988" t="s">
        <v>85</v>
      </c>
      <c r="J3988" t="s">
        <v>2968</v>
      </c>
      <c r="K3988" t="s">
        <v>20</v>
      </c>
      <c r="L3988" t="s">
        <v>9488</v>
      </c>
      <c r="M3988" s="3" t="str">
        <f>HYPERLINK("..\..\Imagery\ScannedPhotos\1980\RG80-098.2.jpg")</f>
        <v>..\..\Imagery\ScannedPhotos\1980\RG80-098.2.jpg</v>
      </c>
    </row>
    <row r="3989" spans="1:13" x14ac:dyDescent="0.25">
      <c r="A3989" t="s">
        <v>9486</v>
      </c>
      <c r="B3989">
        <v>408182</v>
      </c>
      <c r="C3989">
        <v>5987239</v>
      </c>
      <c r="D3989">
        <v>21</v>
      </c>
      <c r="E3989" t="s">
        <v>15</v>
      </c>
      <c r="F3989" t="s">
        <v>9489</v>
      </c>
      <c r="G3989">
        <v>2</v>
      </c>
      <c r="H3989" t="s">
        <v>2967</v>
      </c>
      <c r="I3989" t="s">
        <v>41</v>
      </c>
      <c r="J3989" t="s">
        <v>2968</v>
      </c>
      <c r="K3989" t="s">
        <v>20</v>
      </c>
      <c r="L3989" t="s">
        <v>9490</v>
      </c>
      <c r="M3989" s="3" t="str">
        <f>HYPERLINK("..\..\Imagery\ScannedPhotos\1980\RG80-098.1.jpg")</f>
        <v>..\..\Imagery\ScannedPhotos\1980\RG80-098.1.jpg</v>
      </c>
    </row>
    <row r="3990" spans="1:13" x14ac:dyDescent="0.25">
      <c r="A3990" t="s">
        <v>9491</v>
      </c>
      <c r="B3990">
        <v>370136</v>
      </c>
      <c r="C3990">
        <v>6084121</v>
      </c>
      <c r="D3990">
        <v>21</v>
      </c>
      <c r="E3990" t="s">
        <v>15</v>
      </c>
      <c r="F3990" t="s">
        <v>9492</v>
      </c>
      <c r="G3990">
        <v>2</v>
      </c>
      <c r="H3990" t="s">
        <v>1623</v>
      </c>
      <c r="I3990" t="s">
        <v>294</v>
      </c>
      <c r="J3990" t="s">
        <v>1624</v>
      </c>
      <c r="K3990" t="s">
        <v>20</v>
      </c>
      <c r="L3990" t="s">
        <v>9493</v>
      </c>
      <c r="M3990" s="3" t="str">
        <f>HYPERLINK("..\..\Imagery\ScannedPhotos\1978\AL78-011.1.jpg")</f>
        <v>..\..\Imagery\ScannedPhotos\1978\AL78-011.1.jpg</v>
      </c>
    </row>
    <row r="3991" spans="1:13" x14ac:dyDescent="0.25">
      <c r="A3991" t="s">
        <v>9494</v>
      </c>
      <c r="B3991">
        <v>478585</v>
      </c>
      <c r="C3991">
        <v>5815585</v>
      </c>
      <c r="D3991">
        <v>21</v>
      </c>
      <c r="E3991" t="s">
        <v>15</v>
      </c>
      <c r="F3991" t="s">
        <v>9495</v>
      </c>
      <c r="G3991">
        <v>1</v>
      </c>
      <c r="H3991" t="s">
        <v>2344</v>
      </c>
      <c r="I3991" t="s">
        <v>281</v>
      </c>
      <c r="J3991" t="s">
        <v>2341</v>
      </c>
      <c r="K3991" t="s">
        <v>56</v>
      </c>
      <c r="L3991" t="s">
        <v>9496</v>
      </c>
      <c r="M3991" s="3" t="str">
        <f>HYPERLINK("..\..\Imagery\ScannedPhotos\1992\JA92-021.jpg")</f>
        <v>..\..\Imagery\ScannedPhotos\1992\JA92-021.jpg</v>
      </c>
    </row>
    <row r="3992" spans="1:13" x14ac:dyDescent="0.25">
      <c r="A3992" t="s">
        <v>9497</v>
      </c>
      <c r="B3992">
        <v>362114</v>
      </c>
      <c r="C3992">
        <v>5776245</v>
      </c>
      <c r="D3992">
        <v>21</v>
      </c>
      <c r="E3992" t="s">
        <v>15</v>
      </c>
      <c r="F3992" t="s">
        <v>9498</v>
      </c>
      <c r="G3992">
        <v>2</v>
      </c>
      <c r="H3992" t="s">
        <v>766</v>
      </c>
      <c r="I3992" t="s">
        <v>41</v>
      </c>
      <c r="J3992" t="s">
        <v>767</v>
      </c>
      <c r="K3992" t="s">
        <v>56</v>
      </c>
      <c r="L3992" t="s">
        <v>6457</v>
      </c>
      <c r="M3992" s="3" t="str">
        <f>HYPERLINK("..\..\Imagery\ScannedPhotos\1999\CG99-366.1.jpg")</f>
        <v>..\..\Imagery\ScannedPhotos\1999\CG99-366.1.jpg</v>
      </c>
    </row>
    <row r="3993" spans="1:13" x14ac:dyDescent="0.25">
      <c r="A3993" t="s">
        <v>9497</v>
      </c>
      <c r="B3993">
        <v>362114</v>
      </c>
      <c r="C3993">
        <v>5776245</v>
      </c>
      <c r="D3993">
        <v>21</v>
      </c>
      <c r="E3993" t="s">
        <v>15</v>
      </c>
      <c r="F3993" t="s">
        <v>9499</v>
      </c>
      <c r="G3993">
        <v>2</v>
      </c>
      <c r="H3993" t="s">
        <v>766</v>
      </c>
      <c r="I3993" t="s">
        <v>85</v>
      </c>
      <c r="J3993" t="s">
        <v>767</v>
      </c>
      <c r="K3993" t="s">
        <v>20</v>
      </c>
      <c r="L3993" t="s">
        <v>6457</v>
      </c>
      <c r="M3993" s="3" t="str">
        <f>HYPERLINK("..\..\Imagery\ScannedPhotos\1999\CG99-366.2.jpg")</f>
        <v>..\..\Imagery\ScannedPhotos\1999\CG99-366.2.jpg</v>
      </c>
    </row>
    <row r="3994" spans="1:13" x14ac:dyDescent="0.25">
      <c r="A3994" t="s">
        <v>9500</v>
      </c>
      <c r="B3994">
        <v>361367</v>
      </c>
      <c r="C3994">
        <v>5777943</v>
      </c>
      <c r="D3994">
        <v>21</v>
      </c>
      <c r="E3994" t="s">
        <v>15</v>
      </c>
      <c r="F3994" t="s">
        <v>9501</v>
      </c>
      <c r="G3994">
        <v>1</v>
      </c>
      <c r="H3994" t="s">
        <v>766</v>
      </c>
      <c r="I3994" t="s">
        <v>375</v>
      </c>
      <c r="J3994" t="s">
        <v>767</v>
      </c>
      <c r="K3994" t="s">
        <v>20</v>
      </c>
      <c r="L3994" t="s">
        <v>4080</v>
      </c>
      <c r="M3994" s="3" t="str">
        <f>HYPERLINK("..\..\Imagery\ScannedPhotos\1999\CG99-368.jpg")</f>
        <v>..\..\Imagery\ScannedPhotos\1999\CG99-368.jpg</v>
      </c>
    </row>
    <row r="3995" spans="1:13" x14ac:dyDescent="0.25">
      <c r="A3995" t="s">
        <v>9502</v>
      </c>
      <c r="B3995">
        <v>511470</v>
      </c>
      <c r="C3995">
        <v>5744050</v>
      </c>
      <c r="D3995">
        <v>21</v>
      </c>
      <c r="E3995" t="s">
        <v>15</v>
      </c>
      <c r="F3995" t="s">
        <v>9503</v>
      </c>
      <c r="G3995">
        <v>1</v>
      </c>
      <c r="H3995" t="s">
        <v>1732</v>
      </c>
      <c r="I3995" t="s">
        <v>222</v>
      </c>
      <c r="J3995" t="s">
        <v>1733</v>
      </c>
      <c r="K3995" t="s">
        <v>56</v>
      </c>
      <c r="L3995" t="s">
        <v>9504</v>
      </c>
      <c r="M3995" s="3" t="str">
        <f>HYPERLINK("..\..\Imagery\ScannedPhotos\1993\CG93-527.jpg")</f>
        <v>..\..\Imagery\ScannedPhotos\1993\CG93-527.jpg</v>
      </c>
    </row>
    <row r="3996" spans="1:13" x14ac:dyDescent="0.25">
      <c r="A3996" t="s">
        <v>9505</v>
      </c>
      <c r="B3996">
        <v>511566</v>
      </c>
      <c r="C3996">
        <v>5744314</v>
      </c>
      <c r="D3996">
        <v>21</v>
      </c>
      <c r="E3996" t="s">
        <v>15</v>
      </c>
      <c r="F3996" t="s">
        <v>9506</v>
      </c>
      <c r="G3996">
        <v>1</v>
      </c>
      <c r="H3996" t="s">
        <v>1732</v>
      </c>
      <c r="I3996" t="s">
        <v>418</v>
      </c>
      <c r="J3996" t="s">
        <v>1733</v>
      </c>
      <c r="K3996" t="s">
        <v>56</v>
      </c>
      <c r="L3996" t="s">
        <v>9504</v>
      </c>
      <c r="M3996" s="3" t="str">
        <f>HYPERLINK("..\..\Imagery\ScannedPhotos\1993\CG93-528.jpg")</f>
        <v>..\..\Imagery\ScannedPhotos\1993\CG93-528.jpg</v>
      </c>
    </row>
    <row r="3997" spans="1:13" x14ac:dyDescent="0.25">
      <c r="A3997" t="s">
        <v>9507</v>
      </c>
      <c r="B3997">
        <v>512815</v>
      </c>
      <c r="C3997">
        <v>5746491</v>
      </c>
      <c r="D3997">
        <v>21</v>
      </c>
      <c r="E3997" t="s">
        <v>15</v>
      </c>
      <c r="F3997" t="s">
        <v>9508</v>
      </c>
      <c r="G3997">
        <v>1</v>
      </c>
      <c r="H3997" t="s">
        <v>1732</v>
      </c>
      <c r="I3997" t="s">
        <v>304</v>
      </c>
      <c r="J3997" t="s">
        <v>1733</v>
      </c>
      <c r="K3997" t="s">
        <v>56</v>
      </c>
      <c r="L3997" t="s">
        <v>9504</v>
      </c>
      <c r="M3997" s="3" t="str">
        <f>HYPERLINK("..\..\Imagery\ScannedPhotos\1993\CG93-533.jpg")</f>
        <v>..\..\Imagery\ScannedPhotos\1993\CG93-533.jpg</v>
      </c>
    </row>
    <row r="3998" spans="1:13" x14ac:dyDescent="0.25">
      <c r="A3998" t="s">
        <v>9509</v>
      </c>
      <c r="B3998">
        <v>535254</v>
      </c>
      <c r="C3998">
        <v>5749440</v>
      </c>
      <c r="D3998">
        <v>21</v>
      </c>
      <c r="E3998" t="s">
        <v>15</v>
      </c>
      <c r="F3998" t="s">
        <v>9510</v>
      </c>
      <c r="G3998">
        <v>1</v>
      </c>
      <c r="H3998" t="s">
        <v>1732</v>
      </c>
      <c r="I3998" t="s">
        <v>25</v>
      </c>
      <c r="J3998" t="s">
        <v>1733</v>
      </c>
      <c r="K3998" t="s">
        <v>56</v>
      </c>
      <c r="L3998" t="s">
        <v>9511</v>
      </c>
      <c r="M3998" s="3" t="str">
        <f>HYPERLINK("..\..\Imagery\ScannedPhotos\1993\CG93-541.jpg")</f>
        <v>..\..\Imagery\ScannedPhotos\1993\CG93-541.jpg</v>
      </c>
    </row>
    <row r="3999" spans="1:13" x14ac:dyDescent="0.25">
      <c r="A3999" t="s">
        <v>9512</v>
      </c>
      <c r="B3999">
        <v>535418</v>
      </c>
      <c r="C3999">
        <v>5747690</v>
      </c>
      <c r="D3999">
        <v>21</v>
      </c>
      <c r="E3999" t="s">
        <v>15</v>
      </c>
      <c r="F3999" t="s">
        <v>9513</v>
      </c>
      <c r="G3999">
        <v>1</v>
      </c>
      <c r="H3999" t="s">
        <v>1732</v>
      </c>
      <c r="I3999" t="s">
        <v>360</v>
      </c>
      <c r="J3999" t="s">
        <v>1733</v>
      </c>
      <c r="K3999" t="s">
        <v>20</v>
      </c>
      <c r="L3999" t="s">
        <v>9514</v>
      </c>
      <c r="M3999" s="3" t="str">
        <f>HYPERLINK("..\..\Imagery\ScannedPhotos\1993\CG93-546.jpg")</f>
        <v>..\..\Imagery\ScannedPhotos\1993\CG93-546.jpg</v>
      </c>
    </row>
    <row r="4000" spans="1:13" x14ac:dyDescent="0.25">
      <c r="A4000" t="s">
        <v>9515</v>
      </c>
      <c r="B4000">
        <v>494458</v>
      </c>
      <c r="C4000">
        <v>5968652</v>
      </c>
      <c r="D4000">
        <v>21</v>
      </c>
      <c r="E4000" t="s">
        <v>15</v>
      </c>
      <c r="F4000" t="s">
        <v>9516</v>
      </c>
      <c r="G4000">
        <v>1</v>
      </c>
      <c r="H4000" t="s">
        <v>1197</v>
      </c>
      <c r="I4000" t="s">
        <v>386</v>
      </c>
      <c r="J4000" t="s">
        <v>48</v>
      </c>
      <c r="K4000" t="s">
        <v>20</v>
      </c>
      <c r="L4000" t="s">
        <v>9517</v>
      </c>
      <c r="M4000" s="3" t="str">
        <f>HYPERLINK("..\..\Imagery\ScannedPhotos\1981\CG81-753.jpg")</f>
        <v>..\..\Imagery\ScannedPhotos\1981\CG81-753.jpg</v>
      </c>
    </row>
    <row r="4001" spans="1:13" x14ac:dyDescent="0.25">
      <c r="A4001" t="s">
        <v>1516</v>
      </c>
      <c r="B4001">
        <v>465282</v>
      </c>
      <c r="C4001">
        <v>6030482</v>
      </c>
      <c r="D4001">
        <v>21</v>
      </c>
      <c r="E4001" t="s">
        <v>15</v>
      </c>
      <c r="F4001" t="s">
        <v>9518</v>
      </c>
      <c r="G4001">
        <v>4</v>
      </c>
      <c r="H4001" t="s">
        <v>1518</v>
      </c>
      <c r="I4001" t="s">
        <v>143</v>
      </c>
      <c r="J4001" t="s">
        <v>48</v>
      </c>
      <c r="K4001" t="s">
        <v>20</v>
      </c>
      <c r="L4001" t="s">
        <v>9519</v>
      </c>
      <c r="M4001" s="3" t="str">
        <f>HYPERLINK("..\..\Imagery\ScannedPhotos\1982\CG82-027.1.jpg")</f>
        <v>..\..\Imagery\ScannedPhotos\1982\CG82-027.1.jpg</v>
      </c>
    </row>
    <row r="4002" spans="1:13" x14ac:dyDescent="0.25">
      <c r="A4002" t="s">
        <v>9520</v>
      </c>
      <c r="B4002">
        <v>454879</v>
      </c>
      <c r="C4002">
        <v>5897000</v>
      </c>
      <c r="D4002">
        <v>21</v>
      </c>
      <c r="E4002" t="s">
        <v>15</v>
      </c>
      <c r="F4002" t="s">
        <v>9521</v>
      </c>
      <c r="G4002">
        <v>1</v>
      </c>
      <c r="H4002" t="s">
        <v>60</v>
      </c>
      <c r="I4002" t="s">
        <v>18</v>
      </c>
      <c r="J4002" t="s">
        <v>61</v>
      </c>
      <c r="K4002" t="s">
        <v>20</v>
      </c>
      <c r="L4002" t="s">
        <v>9522</v>
      </c>
      <c r="M4002" s="3" t="str">
        <f>HYPERLINK("..\..\Imagery\ScannedPhotos\1984\CG84-178.jpg")</f>
        <v>..\..\Imagery\ScannedPhotos\1984\CG84-178.jpg</v>
      </c>
    </row>
    <row r="4003" spans="1:13" x14ac:dyDescent="0.25">
      <c r="A4003" t="s">
        <v>9523</v>
      </c>
      <c r="B4003">
        <v>456739</v>
      </c>
      <c r="C4003">
        <v>5900325</v>
      </c>
      <c r="D4003">
        <v>21</v>
      </c>
      <c r="E4003" t="s">
        <v>15</v>
      </c>
      <c r="F4003" t="s">
        <v>9524</v>
      </c>
      <c r="G4003">
        <v>1</v>
      </c>
      <c r="H4003" t="s">
        <v>60</v>
      </c>
      <c r="I4003" t="s">
        <v>35</v>
      </c>
      <c r="J4003" t="s">
        <v>61</v>
      </c>
      <c r="K4003" t="s">
        <v>20</v>
      </c>
      <c r="L4003" t="s">
        <v>9525</v>
      </c>
      <c r="M4003" s="3" t="str">
        <f>HYPERLINK("..\..\Imagery\ScannedPhotos\1984\CG84-184.jpg")</f>
        <v>..\..\Imagery\ScannedPhotos\1984\CG84-184.jpg</v>
      </c>
    </row>
    <row r="4004" spans="1:13" x14ac:dyDescent="0.25">
      <c r="A4004" t="s">
        <v>9526</v>
      </c>
      <c r="B4004">
        <v>542321</v>
      </c>
      <c r="C4004">
        <v>5742609</v>
      </c>
      <c r="D4004">
        <v>21</v>
      </c>
      <c r="E4004" t="s">
        <v>15</v>
      </c>
      <c r="F4004" t="s">
        <v>9527</v>
      </c>
      <c r="G4004">
        <v>1</v>
      </c>
      <c r="K4004" t="s">
        <v>56</v>
      </c>
      <c r="L4004" t="s">
        <v>9528</v>
      </c>
      <c r="M4004" s="3" t="str">
        <f>HYPERLINK("..\..\Imagery\ScannedPhotos\2003\CG03-027.jpg")</f>
        <v>..\..\Imagery\ScannedPhotos\2003\CG03-027.jpg</v>
      </c>
    </row>
    <row r="4005" spans="1:13" x14ac:dyDescent="0.25">
      <c r="A4005" t="s">
        <v>9529</v>
      </c>
      <c r="B4005">
        <v>510575</v>
      </c>
      <c r="C4005">
        <v>5954433</v>
      </c>
      <c r="D4005">
        <v>21</v>
      </c>
      <c r="E4005" t="s">
        <v>15</v>
      </c>
      <c r="F4005" t="s">
        <v>9530</v>
      </c>
      <c r="G4005">
        <v>3</v>
      </c>
      <c r="H4005" t="s">
        <v>3587</v>
      </c>
      <c r="I4005" t="s">
        <v>209</v>
      </c>
      <c r="J4005" t="s">
        <v>3588</v>
      </c>
      <c r="K4005" t="s">
        <v>20</v>
      </c>
      <c r="L4005" t="s">
        <v>9531</v>
      </c>
      <c r="M4005" s="3" t="str">
        <f>HYPERLINK("..\..\Imagery\ScannedPhotos\1977\MC77-249.3.jpg")</f>
        <v>..\..\Imagery\ScannedPhotos\1977\MC77-249.3.jpg</v>
      </c>
    </row>
    <row r="4006" spans="1:13" x14ac:dyDescent="0.25">
      <c r="A4006" t="s">
        <v>9198</v>
      </c>
      <c r="B4006">
        <v>476236</v>
      </c>
      <c r="C4006">
        <v>5792075</v>
      </c>
      <c r="D4006">
        <v>21</v>
      </c>
      <c r="E4006" t="s">
        <v>15</v>
      </c>
      <c r="F4006" t="s">
        <v>9532</v>
      </c>
      <c r="G4006">
        <v>5</v>
      </c>
      <c r="H4006" t="s">
        <v>813</v>
      </c>
      <c r="I4006" t="s">
        <v>65</v>
      </c>
      <c r="J4006" t="s">
        <v>814</v>
      </c>
      <c r="K4006" t="s">
        <v>56</v>
      </c>
      <c r="L4006" t="s">
        <v>9533</v>
      </c>
      <c r="M4006" s="3" t="str">
        <f>HYPERLINK("..\..\Imagery\ScannedPhotos\1992\CG92-053.2.jpg")</f>
        <v>..\..\Imagery\ScannedPhotos\1992\CG92-053.2.jpg</v>
      </c>
    </row>
    <row r="4007" spans="1:13" x14ac:dyDescent="0.25">
      <c r="A4007" t="s">
        <v>5308</v>
      </c>
      <c r="B4007">
        <v>484461</v>
      </c>
      <c r="C4007">
        <v>6033363</v>
      </c>
      <c r="D4007">
        <v>21</v>
      </c>
      <c r="E4007" t="s">
        <v>15</v>
      </c>
      <c r="F4007" t="s">
        <v>9534</v>
      </c>
      <c r="G4007">
        <v>7</v>
      </c>
      <c r="H4007" t="s">
        <v>2439</v>
      </c>
      <c r="I4007" t="s">
        <v>79</v>
      </c>
      <c r="J4007" t="s">
        <v>2440</v>
      </c>
      <c r="K4007" t="s">
        <v>20</v>
      </c>
      <c r="L4007" t="s">
        <v>5310</v>
      </c>
      <c r="M4007" s="3" t="str">
        <f>HYPERLINK("..\..\Imagery\ScannedPhotos\1992\CG92-065.1.jpg")</f>
        <v>..\..\Imagery\ScannedPhotos\1992\CG92-065.1.jpg</v>
      </c>
    </row>
    <row r="4008" spans="1:13" x14ac:dyDescent="0.25">
      <c r="A4008" t="s">
        <v>9535</v>
      </c>
      <c r="B4008">
        <v>495136</v>
      </c>
      <c r="C4008">
        <v>5843036</v>
      </c>
      <c r="D4008">
        <v>21</v>
      </c>
      <c r="E4008" t="s">
        <v>15</v>
      </c>
      <c r="F4008" t="s">
        <v>9536</v>
      </c>
      <c r="G4008">
        <v>2</v>
      </c>
      <c r="H4008" t="s">
        <v>1037</v>
      </c>
      <c r="I4008" t="s">
        <v>222</v>
      </c>
      <c r="J4008" t="s">
        <v>1038</v>
      </c>
      <c r="K4008" t="s">
        <v>20</v>
      </c>
      <c r="L4008" t="s">
        <v>772</v>
      </c>
      <c r="M4008" s="3" t="str">
        <f>HYPERLINK("..\..\Imagery\ScannedPhotos\1991\VN91-465.1.jpg")</f>
        <v>..\..\Imagery\ScannedPhotos\1991\VN91-465.1.jpg</v>
      </c>
    </row>
    <row r="4009" spans="1:13" x14ac:dyDescent="0.25">
      <c r="A4009" t="s">
        <v>9537</v>
      </c>
      <c r="B4009">
        <v>596461</v>
      </c>
      <c r="C4009">
        <v>5792715</v>
      </c>
      <c r="D4009">
        <v>21</v>
      </c>
      <c r="E4009" t="s">
        <v>15</v>
      </c>
      <c r="F4009" t="s">
        <v>9538</v>
      </c>
      <c r="G4009">
        <v>1</v>
      </c>
      <c r="K4009" t="s">
        <v>228</v>
      </c>
      <c r="L4009" t="s">
        <v>9539</v>
      </c>
      <c r="M4009" s="3" t="str">
        <f>HYPERLINK("..\..\Imagery\ScannedPhotos\2007\CG07-170.jpg")</f>
        <v>..\..\Imagery\ScannedPhotos\2007\CG07-170.jpg</v>
      </c>
    </row>
    <row r="4010" spans="1:13" x14ac:dyDescent="0.25">
      <c r="A4010" t="s">
        <v>9540</v>
      </c>
      <c r="B4010">
        <v>435597</v>
      </c>
      <c r="C4010">
        <v>5770059</v>
      </c>
      <c r="D4010">
        <v>21</v>
      </c>
      <c r="E4010" t="s">
        <v>15</v>
      </c>
      <c r="F4010" t="s">
        <v>9541</v>
      </c>
      <c r="G4010">
        <v>2</v>
      </c>
      <c r="H4010" t="s">
        <v>904</v>
      </c>
      <c r="I4010" t="s">
        <v>137</v>
      </c>
      <c r="J4010" t="s">
        <v>905</v>
      </c>
      <c r="K4010" t="s">
        <v>56</v>
      </c>
      <c r="L4010" t="s">
        <v>9542</v>
      </c>
      <c r="M4010" s="3" t="str">
        <f>HYPERLINK("..\..\Imagery\ScannedPhotos\1992\VN92-206.2.jpg")</f>
        <v>..\..\Imagery\ScannedPhotos\1992\VN92-206.2.jpg</v>
      </c>
    </row>
    <row r="4011" spans="1:13" x14ac:dyDescent="0.25">
      <c r="A4011" t="s">
        <v>9540</v>
      </c>
      <c r="B4011">
        <v>435597</v>
      </c>
      <c r="C4011">
        <v>5770059</v>
      </c>
      <c r="D4011">
        <v>21</v>
      </c>
      <c r="E4011" t="s">
        <v>15</v>
      </c>
      <c r="F4011" t="s">
        <v>9543</v>
      </c>
      <c r="G4011">
        <v>2</v>
      </c>
      <c r="H4011" t="s">
        <v>904</v>
      </c>
      <c r="I4011" t="s">
        <v>281</v>
      </c>
      <c r="J4011" t="s">
        <v>905</v>
      </c>
      <c r="K4011" t="s">
        <v>56</v>
      </c>
      <c r="L4011" t="s">
        <v>9542</v>
      </c>
      <c r="M4011" s="3" t="str">
        <f>HYPERLINK("..\..\Imagery\ScannedPhotos\1992\VN92-206.1.jpg")</f>
        <v>..\..\Imagery\ScannedPhotos\1992\VN92-206.1.jpg</v>
      </c>
    </row>
    <row r="4012" spans="1:13" x14ac:dyDescent="0.25">
      <c r="A4012" t="s">
        <v>9544</v>
      </c>
      <c r="B4012">
        <v>436232</v>
      </c>
      <c r="C4012">
        <v>5770307</v>
      </c>
      <c r="D4012">
        <v>21</v>
      </c>
      <c r="E4012" t="s">
        <v>15</v>
      </c>
      <c r="F4012" t="s">
        <v>9545</v>
      </c>
      <c r="G4012">
        <v>2</v>
      </c>
      <c r="H4012" t="s">
        <v>904</v>
      </c>
      <c r="I4012" t="s">
        <v>18</v>
      </c>
      <c r="J4012" t="s">
        <v>905</v>
      </c>
      <c r="K4012" t="s">
        <v>56</v>
      </c>
      <c r="L4012" t="s">
        <v>9546</v>
      </c>
      <c r="M4012" s="3" t="str">
        <f>HYPERLINK("..\..\Imagery\ScannedPhotos\1992\VN92-207.1.jpg")</f>
        <v>..\..\Imagery\ScannedPhotos\1992\VN92-207.1.jpg</v>
      </c>
    </row>
    <row r="4013" spans="1:13" x14ac:dyDescent="0.25">
      <c r="A4013" t="s">
        <v>9547</v>
      </c>
      <c r="B4013">
        <v>436920</v>
      </c>
      <c r="C4013">
        <v>5771191</v>
      </c>
      <c r="D4013">
        <v>21</v>
      </c>
      <c r="E4013" t="s">
        <v>15</v>
      </c>
      <c r="F4013" t="s">
        <v>9548</v>
      </c>
      <c r="G4013">
        <v>1</v>
      </c>
      <c r="H4013" t="s">
        <v>904</v>
      </c>
      <c r="I4013" t="s">
        <v>69</v>
      </c>
      <c r="J4013" t="s">
        <v>905</v>
      </c>
      <c r="K4013" t="s">
        <v>56</v>
      </c>
      <c r="L4013" t="s">
        <v>9546</v>
      </c>
      <c r="M4013" s="3" t="str">
        <f>HYPERLINK("..\..\Imagery\ScannedPhotos\1992\VN92-209.jpg")</f>
        <v>..\..\Imagery\ScannedPhotos\1992\VN92-209.jpg</v>
      </c>
    </row>
    <row r="4014" spans="1:13" x14ac:dyDescent="0.25">
      <c r="A4014" t="s">
        <v>9549</v>
      </c>
      <c r="B4014">
        <v>437690</v>
      </c>
      <c r="C4014">
        <v>5771595</v>
      </c>
      <c r="D4014">
        <v>21</v>
      </c>
      <c r="E4014" t="s">
        <v>15</v>
      </c>
      <c r="F4014" t="s">
        <v>9550</v>
      </c>
      <c r="G4014">
        <v>2</v>
      </c>
      <c r="H4014" t="s">
        <v>904</v>
      </c>
      <c r="I4014" t="s">
        <v>41</v>
      </c>
      <c r="J4014" t="s">
        <v>905</v>
      </c>
      <c r="K4014" t="s">
        <v>56</v>
      </c>
      <c r="L4014" t="s">
        <v>9546</v>
      </c>
      <c r="M4014" s="3" t="str">
        <f>HYPERLINK("..\..\Imagery\ScannedPhotos\1992\VN92-210.1.jpg")</f>
        <v>..\..\Imagery\ScannedPhotos\1992\VN92-210.1.jpg</v>
      </c>
    </row>
    <row r="4015" spans="1:13" x14ac:dyDescent="0.25">
      <c r="A4015" t="s">
        <v>9549</v>
      </c>
      <c r="B4015">
        <v>437690</v>
      </c>
      <c r="C4015">
        <v>5771595</v>
      </c>
      <c r="D4015">
        <v>21</v>
      </c>
      <c r="E4015" t="s">
        <v>15</v>
      </c>
      <c r="F4015" t="s">
        <v>9551</v>
      </c>
      <c r="G4015">
        <v>2</v>
      </c>
      <c r="H4015" t="s">
        <v>904</v>
      </c>
      <c r="I4015" t="s">
        <v>85</v>
      </c>
      <c r="J4015" t="s">
        <v>905</v>
      </c>
      <c r="K4015" t="s">
        <v>56</v>
      </c>
      <c r="L4015" t="s">
        <v>9546</v>
      </c>
      <c r="M4015" s="3" t="str">
        <f>HYPERLINK("..\..\Imagery\ScannedPhotos\1992\VN92-210.2.jpg")</f>
        <v>..\..\Imagery\ScannedPhotos\1992\VN92-210.2.jpg</v>
      </c>
    </row>
    <row r="4016" spans="1:13" x14ac:dyDescent="0.25">
      <c r="A4016" t="s">
        <v>9552</v>
      </c>
      <c r="B4016">
        <v>598161</v>
      </c>
      <c r="C4016">
        <v>5789871</v>
      </c>
      <c r="D4016">
        <v>21</v>
      </c>
      <c r="E4016" t="s">
        <v>15</v>
      </c>
      <c r="F4016" t="s">
        <v>9553</v>
      </c>
      <c r="G4016">
        <v>1</v>
      </c>
      <c r="H4016" t="s">
        <v>4315</v>
      </c>
      <c r="I4016" t="s">
        <v>30</v>
      </c>
      <c r="J4016" t="s">
        <v>996</v>
      </c>
      <c r="K4016" t="s">
        <v>20</v>
      </c>
      <c r="L4016" t="s">
        <v>9554</v>
      </c>
      <c r="M4016" s="3" t="str">
        <f>HYPERLINK("..\..\Imagery\ScannedPhotos\1987\CG87-664.jpg")</f>
        <v>..\..\Imagery\ScannedPhotos\1987\CG87-664.jpg</v>
      </c>
    </row>
    <row r="4017" spans="1:14" x14ac:dyDescent="0.25">
      <c r="A4017" t="s">
        <v>6519</v>
      </c>
      <c r="B4017">
        <v>574425</v>
      </c>
      <c r="C4017">
        <v>5852209</v>
      </c>
      <c r="D4017">
        <v>21</v>
      </c>
      <c r="E4017" t="s">
        <v>15</v>
      </c>
      <c r="F4017" t="s">
        <v>9555</v>
      </c>
      <c r="G4017">
        <v>2</v>
      </c>
      <c r="H4017" t="s">
        <v>2945</v>
      </c>
      <c r="I4017" t="s">
        <v>47</v>
      </c>
      <c r="J4017" t="s">
        <v>300</v>
      </c>
      <c r="K4017" t="s">
        <v>20</v>
      </c>
      <c r="L4017" t="s">
        <v>6521</v>
      </c>
      <c r="M4017" s="3" t="str">
        <f>HYPERLINK("..\..\Imagery\ScannedPhotos\1986\CG86-549.1cropped.jpg")</f>
        <v>..\..\Imagery\ScannedPhotos\1986\CG86-549.1cropped.jpg</v>
      </c>
      <c r="N4017" t="s">
        <v>4297</v>
      </c>
    </row>
    <row r="4018" spans="1:14" x14ac:dyDescent="0.25">
      <c r="A4018" t="s">
        <v>6522</v>
      </c>
      <c r="B4018">
        <v>575471</v>
      </c>
      <c r="C4018">
        <v>5848940</v>
      </c>
      <c r="D4018">
        <v>21</v>
      </c>
      <c r="E4018" t="s">
        <v>15</v>
      </c>
      <c r="F4018" t="s">
        <v>9556</v>
      </c>
      <c r="G4018">
        <v>2</v>
      </c>
      <c r="H4018" t="s">
        <v>2733</v>
      </c>
      <c r="I4018" t="s">
        <v>74</v>
      </c>
      <c r="J4018" t="s">
        <v>814</v>
      </c>
      <c r="K4018" t="s">
        <v>228</v>
      </c>
      <c r="L4018" t="s">
        <v>9557</v>
      </c>
      <c r="M4018" s="3" t="str">
        <f>HYPERLINK("..\..\Imagery\ScannedPhotos\1986\CG86-557.2E.jpg")</f>
        <v>..\..\Imagery\ScannedPhotos\1986\CG86-557.2E.jpg</v>
      </c>
      <c r="N4018" t="s">
        <v>1808</v>
      </c>
    </row>
    <row r="4019" spans="1:14" x14ac:dyDescent="0.25">
      <c r="A4019" t="s">
        <v>9558</v>
      </c>
      <c r="B4019">
        <v>567237</v>
      </c>
      <c r="C4019">
        <v>5845002</v>
      </c>
      <c r="D4019">
        <v>21</v>
      </c>
      <c r="E4019" t="s">
        <v>15</v>
      </c>
      <c r="F4019" t="s">
        <v>9559</v>
      </c>
      <c r="G4019">
        <v>1</v>
      </c>
      <c r="H4019" t="s">
        <v>2733</v>
      </c>
      <c r="I4019" t="s">
        <v>69</v>
      </c>
      <c r="J4019" t="s">
        <v>814</v>
      </c>
      <c r="K4019" t="s">
        <v>228</v>
      </c>
      <c r="L4019" t="s">
        <v>9560</v>
      </c>
      <c r="M4019" s="3" t="str">
        <f>HYPERLINK("..\..\Imagery\ScannedPhotos\1986\CG86-605E.jpg")</f>
        <v>..\..\Imagery\ScannedPhotos\1986\CG86-605E.jpg</v>
      </c>
      <c r="N4019" t="s">
        <v>1808</v>
      </c>
    </row>
    <row r="4020" spans="1:14" x14ac:dyDescent="0.25">
      <c r="A4020" t="s">
        <v>9561</v>
      </c>
      <c r="B4020">
        <v>566540</v>
      </c>
      <c r="C4020">
        <v>5844253</v>
      </c>
      <c r="D4020">
        <v>21</v>
      </c>
      <c r="E4020" t="s">
        <v>15</v>
      </c>
      <c r="F4020" t="s">
        <v>9562</v>
      </c>
      <c r="G4020">
        <v>1</v>
      </c>
      <c r="H4020" t="s">
        <v>2733</v>
      </c>
      <c r="I4020" t="s">
        <v>35</v>
      </c>
      <c r="J4020" t="s">
        <v>814</v>
      </c>
      <c r="K4020" t="s">
        <v>228</v>
      </c>
      <c r="L4020" t="s">
        <v>9563</v>
      </c>
      <c r="M4020" s="3" t="str">
        <f>HYPERLINK("..\..\Imagery\ScannedPhotos\1986\CG86-606E.jpg")</f>
        <v>..\..\Imagery\ScannedPhotos\1986\CG86-606E.jpg</v>
      </c>
      <c r="N4020" t="s">
        <v>1808</v>
      </c>
    </row>
    <row r="4021" spans="1:14" x14ac:dyDescent="0.25">
      <c r="A4021" t="s">
        <v>5274</v>
      </c>
      <c r="B4021">
        <v>515883</v>
      </c>
      <c r="C4021">
        <v>5826521</v>
      </c>
      <c r="D4021">
        <v>21</v>
      </c>
      <c r="E4021" t="s">
        <v>15</v>
      </c>
      <c r="F4021" t="s">
        <v>9564</v>
      </c>
      <c r="G4021">
        <v>2</v>
      </c>
      <c r="H4021" t="s">
        <v>288</v>
      </c>
      <c r="I4021" t="s">
        <v>281</v>
      </c>
      <c r="J4021" t="s">
        <v>289</v>
      </c>
      <c r="K4021" t="s">
        <v>56</v>
      </c>
      <c r="L4021" t="s">
        <v>5276</v>
      </c>
      <c r="M4021" s="3" t="str">
        <f>HYPERLINK("..\..\Imagery\ScannedPhotos\1986\CG86-618.2cropped.jpg")</f>
        <v>..\..\Imagery\ScannedPhotos\1986\CG86-618.2cropped.jpg</v>
      </c>
      <c r="N4021" t="s">
        <v>4297</v>
      </c>
    </row>
    <row r="4022" spans="1:14" x14ac:dyDescent="0.25">
      <c r="A4022" t="s">
        <v>9565</v>
      </c>
      <c r="B4022">
        <v>567310</v>
      </c>
      <c r="C4022">
        <v>5842872</v>
      </c>
      <c r="D4022">
        <v>21</v>
      </c>
      <c r="E4022" t="s">
        <v>15</v>
      </c>
      <c r="F4022" t="s">
        <v>9566</v>
      </c>
      <c r="G4022">
        <v>1</v>
      </c>
      <c r="H4022" t="s">
        <v>288</v>
      </c>
      <c r="I4022" t="s">
        <v>41</v>
      </c>
      <c r="J4022" t="s">
        <v>289</v>
      </c>
      <c r="K4022" t="s">
        <v>56</v>
      </c>
      <c r="L4022" t="s">
        <v>9567</v>
      </c>
      <c r="M4022" s="3" t="str">
        <f>HYPERLINK("..\..\Imagery\ScannedPhotos\1986\CG86-667cropped.jpg")</f>
        <v>..\..\Imagery\ScannedPhotos\1986\CG86-667cropped.jpg</v>
      </c>
      <c r="N4022" t="s">
        <v>4297</v>
      </c>
    </row>
    <row r="4023" spans="1:14" x14ac:dyDescent="0.25">
      <c r="A4023" t="s">
        <v>9568</v>
      </c>
      <c r="B4023">
        <v>581271</v>
      </c>
      <c r="C4023">
        <v>5838869</v>
      </c>
      <c r="D4023">
        <v>21</v>
      </c>
      <c r="E4023" t="s">
        <v>15</v>
      </c>
      <c r="F4023" t="s">
        <v>9569</v>
      </c>
      <c r="G4023">
        <v>2</v>
      </c>
      <c r="H4023" t="s">
        <v>288</v>
      </c>
      <c r="I4023" t="s">
        <v>209</v>
      </c>
      <c r="J4023" t="s">
        <v>289</v>
      </c>
      <c r="K4023" t="s">
        <v>228</v>
      </c>
      <c r="L4023" t="s">
        <v>9570</v>
      </c>
      <c r="M4023" s="3" t="str">
        <f>HYPERLINK("..\..\Imagery\ScannedPhotos\1986\CG86-682.1E.jpg")</f>
        <v>..\..\Imagery\ScannedPhotos\1986\CG86-682.1E.jpg</v>
      </c>
      <c r="N4023" t="s">
        <v>1808</v>
      </c>
    </row>
    <row r="4024" spans="1:14" x14ac:dyDescent="0.25">
      <c r="A4024" t="s">
        <v>9571</v>
      </c>
      <c r="B4024">
        <v>582645</v>
      </c>
      <c r="C4024">
        <v>5838647</v>
      </c>
      <c r="D4024">
        <v>21</v>
      </c>
      <c r="E4024" t="s">
        <v>15</v>
      </c>
      <c r="F4024" t="s">
        <v>9572</v>
      </c>
      <c r="G4024">
        <v>3</v>
      </c>
      <c r="H4024" t="s">
        <v>288</v>
      </c>
      <c r="I4024" t="s">
        <v>214</v>
      </c>
      <c r="J4024" t="s">
        <v>289</v>
      </c>
      <c r="K4024" t="s">
        <v>20</v>
      </c>
      <c r="L4024" t="s">
        <v>9570</v>
      </c>
      <c r="M4024" s="3" t="str">
        <f>HYPERLINK("..\..\Imagery\ScannedPhotos\1986\CG86-683.2E.jpg")</f>
        <v>..\..\Imagery\ScannedPhotos\1986\CG86-683.2E.jpg</v>
      </c>
      <c r="N4024" t="s">
        <v>1808</v>
      </c>
    </row>
    <row r="4025" spans="1:14" x14ac:dyDescent="0.25">
      <c r="A4025" t="s">
        <v>9571</v>
      </c>
      <c r="B4025">
        <v>582645</v>
      </c>
      <c r="C4025">
        <v>5838647</v>
      </c>
      <c r="D4025">
        <v>21</v>
      </c>
      <c r="E4025" t="s">
        <v>15</v>
      </c>
      <c r="F4025" t="s">
        <v>9573</v>
      </c>
      <c r="G4025">
        <v>3</v>
      </c>
      <c r="H4025" t="s">
        <v>288</v>
      </c>
      <c r="I4025" t="s">
        <v>222</v>
      </c>
      <c r="J4025" t="s">
        <v>289</v>
      </c>
      <c r="K4025" t="s">
        <v>228</v>
      </c>
      <c r="L4025" t="s">
        <v>9574</v>
      </c>
      <c r="M4025" s="3" t="str">
        <f>HYPERLINK("..\..\Imagery\ScannedPhotos\1986\CG86-683.3E.jpg")</f>
        <v>..\..\Imagery\ScannedPhotos\1986\CG86-683.3E.jpg</v>
      </c>
      <c r="N4025" t="s">
        <v>1808</v>
      </c>
    </row>
    <row r="4026" spans="1:14" x14ac:dyDescent="0.25">
      <c r="A4026" t="s">
        <v>5854</v>
      </c>
      <c r="B4026">
        <v>578445</v>
      </c>
      <c r="C4026">
        <v>5826798</v>
      </c>
      <c r="D4026">
        <v>21</v>
      </c>
      <c r="E4026" t="s">
        <v>15</v>
      </c>
      <c r="F4026" t="s">
        <v>9575</v>
      </c>
      <c r="G4026">
        <v>4</v>
      </c>
      <c r="H4026" t="s">
        <v>288</v>
      </c>
      <c r="I4026" t="s">
        <v>126</v>
      </c>
      <c r="J4026" t="s">
        <v>289</v>
      </c>
      <c r="K4026" t="s">
        <v>20</v>
      </c>
      <c r="L4026" t="s">
        <v>5856</v>
      </c>
      <c r="M4026" s="3" t="str">
        <f>HYPERLINK("..\..\Imagery\ScannedPhotos\1986\CG86-692.1cropped.jpg")</f>
        <v>..\..\Imagery\ScannedPhotos\1986\CG86-692.1cropped.jpg</v>
      </c>
      <c r="N4026" t="s">
        <v>4297</v>
      </c>
    </row>
    <row r="4027" spans="1:14" x14ac:dyDescent="0.25">
      <c r="A4027" t="s">
        <v>5854</v>
      </c>
      <c r="B4027">
        <v>578445</v>
      </c>
      <c r="C4027">
        <v>5826798</v>
      </c>
      <c r="D4027">
        <v>21</v>
      </c>
      <c r="E4027" t="s">
        <v>15</v>
      </c>
      <c r="F4027" t="s">
        <v>9576</v>
      </c>
      <c r="G4027">
        <v>4</v>
      </c>
      <c r="H4027" t="s">
        <v>288</v>
      </c>
      <c r="I4027" t="s">
        <v>132</v>
      </c>
      <c r="J4027" t="s">
        <v>289</v>
      </c>
      <c r="K4027" t="s">
        <v>20</v>
      </c>
      <c r="L4027" t="s">
        <v>9577</v>
      </c>
      <c r="M4027" s="3" t="str">
        <f>HYPERLINK("..\..\Imagery\ScannedPhotos\1986\CG86-692.3cropped.jpg")</f>
        <v>..\..\Imagery\ScannedPhotos\1986\CG86-692.3cropped.jpg</v>
      </c>
      <c r="N4027" t="s">
        <v>4297</v>
      </c>
    </row>
    <row r="4028" spans="1:14" x14ac:dyDescent="0.25">
      <c r="A4028" t="s">
        <v>9578</v>
      </c>
      <c r="B4028">
        <v>495929</v>
      </c>
      <c r="C4028">
        <v>5771042</v>
      </c>
      <c r="D4028">
        <v>21</v>
      </c>
      <c r="E4028" t="s">
        <v>15</v>
      </c>
      <c r="F4028" t="s">
        <v>9579</v>
      </c>
      <c r="G4028">
        <v>1</v>
      </c>
      <c r="H4028" t="s">
        <v>2023</v>
      </c>
      <c r="I4028" t="s">
        <v>69</v>
      </c>
      <c r="J4028" t="s">
        <v>1052</v>
      </c>
      <c r="K4028" t="s">
        <v>56</v>
      </c>
      <c r="L4028" t="s">
        <v>9580</v>
      </c>
      <c r="M4028" s="3" t="str">
        <f>HYPERLINK("..\..\Imagery\ScannedPhotos\1986\CG86-697cropped.jpg")</f>
        <v>..\..\Imagery\ScannedPhotos\1986\CG86-697cropped.jpg</v>
      </c>
      <c r="N4028" t="s">
        <v>4297</v>
      </c>
    </row>
    <row r="4029" spans="1:14" x14ac:dyDescent="0.25">
      <c r="A4029" t="s">
        <v>9581</v>
      </c>
      <c r="B4029">
        <v>577602</v>
      </c>
      <c r="C4029">
        <v>5821130</v>
      </c>
      <c r="D4029">
        <v>21</v>
      </c>
      <c r="E4029" t="s">
        <v>15</v>
      </c>
      <c r="F4029" t="s">
        <v>9582</v>
      </c>
      <c r="G4029">
        <v>1</v>
      </c>
      <c r="H4029" t="s">
        <v>293</v>
      </c>
      <c r="I4029" t="s">
        <v>79</v>
      </c>
      <c r="J4029" t="s">
        <v>295</v>
      </c>
      <c r="K4029" t="s">
        <v>20</v>
      </c>
      <c r="L4029" t="s">
        <v>9583</v>
      </c>
      <c r="M4029" s="3" t="str">
        <f>HYPERLINK("..\..\Imagery\ScannedPhotos\1986\CG86-720E.jpg")</f>
        <v>..\..\Imagery\ScannedPhotos\1986\CG86-720E.jpg</v>
      </c>
      <c r="N4029" t="s">
        <v>1808</v>
      </c>
    </row>
    <row r="4030" spans="1:14" x14ac:dyDescent="0.25">
      <c r="A4030" t="s">
        <v>7523</v>
      </c>
      <c r="B4030">
        <v>568254</v>
      </c>
      <c r="C4030">
        <v>5820114</v>
      </c>
      <c r="D4030">
        <v>21</v>
      </c>
      <c r="E4030" t="s">
        <v>15</v>
      </c>
      <c r="F4030" t="s">
        <v>9584</v>
      </c>
      <c r="G4030">
        <v>7</v>
      </c>
      <c r="H4030" t="s">
        <v>293</v>
      </c>
      <c r="I4030" t="s">
        <v>85</v>
      </c>
      <c r="J4030" t="s">
        <v>295</v>
      </c>
      <c r="K4030" t="s">
        <v>20</v>
      </c>
      <c r="L4030" t="s">
        <v>9585</v>
      </c>
      <c r="M4030" s="3" t="str">
        <f>HYPERLINK("..\..\Imagery\ScannedPhotos\1986\CG86-746.1cropped.jpg")</f>
        <v>..\..\Imagery\ScannedPhotos\1986\CG86-746.1cropped.jpg</v>
      </c>
      <c r="N4030" t="s">
        <v>4297</v>
      </c>
    </row>
    <row r="4031" spans="1:14" x14ac:dyDescent="0.25">
      <c r="A4031" t="s">
        <v>9586</v>
      </c>
      <c r="B4031">
        <v>405328</v>
      </c>
      <c r="C4031">
        <v>5911514</v>
      </c>
      <c r="D4031">
        <v>21</v>
      </c>
      <c r="E4031" t="s">
        <v>15</v>
      </c>
      <c r="F4031" t="s">
        <v>9587</v>
      </c>
      <c r="G4031">
        <v>8</v>
      </c>
      <c r="H4031" t="s">
        <v>556</v>
      </c>
      <c r="I4031" t="s">
        <v>418</v>
      </c>
      <c r="J4031" t="s">
        <v>557</v>
      </c>
      <c r="K4031" t="s">
        <v>20</v>
      </c>
      <c r="L4031" t="s">
        <v>9588</v>
      </c>
      <c r="M4031" s="3" t="str">
        <f>HYPERLINK("..\..\Imagery\ScannedPhotos\1995\CG95-096.6.jpg")</f>
        <v>..\..\Imagery\ScannedPhotos\1995\CG95-096.6.jpg</v>
      </c>
    </row>
    <row r="4032" spans="1:14" x14ac:dyDescent="0.25">
      <c r="A4032" t="s">
        <v>9586</v>
      </c>
      <c r="B4032">
        <v>405328</v>
      </c>
      <c r="C4032">
        <v>5911514</v>
      </c>
      <c r="D4032">
        <v>21</v>
      </c>
      <c r="E4032" t="s">
        <v>15</v>
      </c>
      <c r="F4032" t="s">
        <v>9589</v>
      </c>
      <c r="G4032">
        <v>8</v>
      </c>
      <c r="H4032" t="s">
        <v>556</v>
      </c>
      <c r="I4032" t="s">
        <v>304</v>
      </c>
      <c r="J4032" t="s">
        <v>557</v>
      </c>
      <c r="K4032" t="s">
        <v>20</v>
      </c>
      <c r="L4032" t="s">
        <v>9590</v>
      </c>
      <c r="M4032" s="3" t="str">
        <f>HYPERLINK("..\..\Imagery\ScannedPhotos\1995\CG95-096.7.jpg")</f>
        <v>..\..\Imagery\ScannedPhotos\1995\CG95-096.7.jpg</v>
      </c>
    </row>
    <row r="4033" spans="1:13" x14ac:dyDescent="0.25">
      <c r="A4033" t="s">
        <v>9586</v>
      </c>
      <c r="B4033">
        <v>405328</v>
      </c>
      <c r="C4033">
        <v>5911514</v>
      </c>
      <c r="D4033">
        <v>21</v>
      </c>
      <c r="E4033" t="s">
        <v>15</v>
      </c>
      <c r="F4033" t="s">
        <v>9591</v>
      </c>
      <c r="G4033">
        <v>8</v>
      </c>
      <c r="H4033" t="s">
        <v>556</v>
      </c>
      <c r="I4033" t="s">
        <v>195</v>
      </c>
      <c r="J4033" t="s">
        <v>557</v>
      </c>
      <c r="K4033" t="s">
        <v>20</v>
      </c>
      <c r="L4033" t="s">
        <v>9590</v>
      </c>
      <c r="M4033" s="3" t="str">
        <f>HYPERLINK("..\..\Imagery\ScannedPhotos\1995\CG95-096.8.jpg")</f>
        <v>..\..\Imagery\ScannedPhotos\1995\CG95-096.8.jpg</v>
      </c>
    </row>
    <row r="4034" spans="1:13" x14ac:dyDescent="0.25">
      <c r="A4034" t="s">
        <v>9586</v>
      </c>
      <c r="B4034">
        <v>405328</v>
      </c>
      <c r="C4034">
        <v>5911514</v>
      </c>
      <c r="D4034">
        <v>21</v>
      </c>
      <c r="E4034" t="s">
        <v>15</v>
      </c>
      <c r="F4034" t="s">
        <v>9592</v>
      </c>
      <c r="G4034">
        <v>8</v>
      </c>
      <c r="H4034" t="s">
        <v>754</v>
      </c>
      <c r="I4034" t="s">
        <v>30</v>
      </c>
      <c r="J4034" t="s">
        <v>563</v>
      </c>
      <c r="K4034" t="s">
        <v>20</v>
      </c>
      <c r="L4034" t="s">
        <v>9593</v>
      </c>
      <c r="M4034" s="3" t="str">
        <f>HYPERLINK("..\..\Imagery\ScannedPhotos\1995\CG95-096.2.jpg")</f>
        <v>..\..\Imagery\ScannedPhotos\1995\CG95-096.2.jpg</v>
      </c>
    </row>
    <row r="4035" spans="1:13" x14ac:dyDescent="0.25">
      <c r="A4035" t="s">
        <v>9594</v>
      </c>
      <c r="B4035">
        <v>405174</v>
      </c>
      <c r="C4035">
        <v>5911581</v>
      </c>
      <c r="D4035">
        <v>21</v>
      </c>
      <c r="E4035" t="s">
        <v>15</v>
      </c>
      <c r="F4035" t="s">
        <v>9595</v>
      </c>
      <c r="G4035">
        <v>2</v>
      </c>
      <c r="H4035" t="s">
        <v>754</v>
      </c>
      <c r="I4035" t="s">
        <v>119</v>
      </c>
      <c r="J4035" t="s">
        <v>563</v>
      </c>
      <c r="K4035" t="s">
        <v>20</v>
      </c>
      <c r="L4035" t="s">
        <v>9596</v>
      </c>
      <c r="M4035" s="3" t="str">
        <f>HYPERLINK("..\..\Imagery\ScannedPhotos\1995\CG95-097.2.jpg")</f>
        <v>..\..\Imagery\ScannedPhotos\1995\CG95-097.2.jpg</v>
      </c>
    </row>
    <row r="4036" spans="1:13" x14ac:dyDescent="0.25">
      <c r="A4036" t="s">
        <v>9594</v>
      </c>
      <c r="B4036">
        <v>405174</v>
      </c>
      <c r="C4036">
        <v>5911581</v>
      </c>
      <c r="D4036">
        <v>21</v>
      </c>
      <c r="E4036" t="s">
        <v>15</v>
      </c>
      <c r="F4036" t="s">
        <v>9597</v>
      </c>
      <c r="G4036">
        <v>2</v>
      </c>
      <c r="H4036" t="s">
        <v>754</v>
      </c>
      <c r="I4036" t="s">
        <v>114</v>
      </c>
      <c r="J4036" t="s">
        <v>563</v>
      </c>
      <c r="K4036" t="s">
        <v>20</v>
      </c>
      <c r="L4036" t="s">
        <v>9596</v>
      </c>
      <c r="M4036" s="3" t="str">
        <f>HYPERLINK("..\..\Imagery\ScannedPhotos\1995\CG95-097.1.jpg")</f>
        <v>..\..\Imagery\ScannedPhotos\1995\CG95-097.1.jpg</v>
      </c>
    </row>
    <row r="4037" spans="1:13" x14ac:dyDescent="0.25">
      <c r="A4037" t="s">
        <v>9598</v>
      </c>
      <c r="B4037">
        <v>396541</v>
      </c>
      <c r="C4037">
        <v>5928078</v>
      </c>
      <c r="D4037">
        <v>21</v>
      </c>
      <c r="E4037" t="s">
        <v>15</v>
      </c>
      <c r="F4037" t="s">
        <v>9599</v>
      </c>
      <c r="G4037">
        <v>1</v>
      </c>
      <c r="H4037" t="s">
        <v>754</v>
      </c>
      <c r="I4037" t="s">
        <v>47</v>
      </c>
      <c r="J4037" t="s">
        <v>563</v>
      </c>
      <c r="K4037" t="s">
        <v>20</v>
      </c>
      <c r="L4037" t="s">
        <v>9600</v>
      </c>
      <c r="M4037" s="3" t="str">
        <f>HYPERLINK("..\..\Imagery\ScannedPhotos\1995\CG95-106.jpg")</f>
        <v>..\..\Imagery\ScannedPhotos\1995\CG95-106.jpg</v>
      </c>
    </row>
    <row r="4038" spans="1:13" x14ac:dyDescent="0.25">
      <c r="A4038" t="s">
        <v>9601</v>
      </c>
      <c r="B4038">
        <v>402670</v>
      </c>
      <c r="C4038">
        <v>6066341</v>
      </c>
      <c r="D4038">
        <v>21</v>
      </c>
      <c r="E4038" t="s">
        <v>15</v>
      </c>
      <c r="F4038" t="s">
        <v>9602</v>
      </c>
      <c r="G4038">
        <v>3</v>
      </c>
      <c r="H4038" t="s">
        <v>1207</v>
      </c>
      <c r="I4038" t="s">
        <v>126</v>
      </c>
      <c r="J4038" t="s">
        <v>1208</v>
      </c>
      <c r="K4038" t="s">
        <v>535</v>
      </c>
      <c r="L4038" t="s">
        <v>9603</v>
      </c>
      <c r="M4038" s="3" t="str">
        <f>HYPERLINK("..\..\Imagery\ScannedPhotos\1979\CG79-099.1.jpg")</f>
        <v>..\..\Imagery\ScannedPhotos\1979\CG79-099.1.jpg</v>
      </c>
    </row>
    <row r="4039" spans="1:13" x14ac:dyDescent="0.25">
      <c r="A4039" t="s">
        <v>9604</v>
      </c>
      <c r="B4039">
        <v>510193</v>
      </c>
      <c r="C4039">
        <v>5953969</v>
      </c>
      <c r="D4039">
        <v>21</v>
      </c>
      <c r="E4039" t="s">
        <v>15</v>
      </c>
      <c r="F4039" t="s">
        <v>9605</v>
      </c>
      <c r="G4039">
        <v>1</v>
      </c>
      <c r="H4039" t="s">
        <v>3587</v>
      </c>
      <c r="I4039" t="s">
        <v>386</v>
      </c>
      <c r="J4039" t="s">
        <v>3588</v>
      </c>
      <c r="K4039" t="s">
        <v>20</v>
      </c>
      <c r="L4039" t="s">
        <v>9606</v>
      </c>
      <c r="M4039" s="3" t="str">
        <f>HYPERLINK("..\..\Imagery\ScannedPhotos\1977\MC77-250.jpg")</f>
        <v>..\..\Imagery\ScannedPhotos\1977\MC77-250.jpg</v>
      </c>
    </row>
    <row r="4040" spans="1:13" x14ac:dyDescent="0.25">
      <c r="A4040" t="s">
        <v>9607</v>
      </c>
      <c r="B4040">
        <v>574901</v>
      </c>
      <c r="C4040">
        <v>5829777</v>
      </c>
      <c r="D4040">
        <v>21</v>
      </c>
      <c r="E4040" t="s">
        <v>15</v>
      </c>
      <c r="F4040" t="s">
        <v>9608</v>
      </c>
      <c r="G4040">
        <v>1</v>
      </c>
      <c r="H4040" t="s">
        <v>299</v>
      </c>
      <c r="I4040" t="s">
        <v>143</v>
      </c>
      <c r="J4040" t="s">
        <v>300</v>
      </c>
      <c r="K4040" t="s">
        <v>20</v>
      </c>
      <c r="L4040" t="s">
        <v>9609</v>
      </c>
      <c r="M4040" s="3" t="str">
        <f>HYPERLINK("..\..\Imagery\ScannedPhotos\1986\MN86-253.jpg")</f>
        <v>..\..\Imagery\ScannedPhotos\1986\MN86-253.jpg</v>
      </c>
    </row>
    <row r="4041" spans="1:13" x14ac:dyDescent="0.25">
      <c r="A4041" t="s">
        <v>9610</v>
      </c>
      <c r="B4041">
        <v>572145</v>
      </c>
      <c r="C4041">
        <v>5830691</v>
      </c>
      <c r="D4041">
        <v>21</v>
      </c>
      <c r="E4041" t="s">
        <v>15</v>
      </c>
      <c r="F4041" t="s">
        <v>9611</v>
      </c>
      <c r="G4041">
        <v>2</v>
      </c>
      <c r="H4041" t="s">
        <v>299</v>
      </c>
      <c r="I4041" t="s">
        <v>147</v>
      </c>
      <c r="J4041" t="s">
        <v>300</v>
      </c>
      <c r="K4041" t="s">
        <v>20</v>
      </c>
      <c r="L4041" t="s">
        <v>4707</v>
      </c>
      <c r="M4041" s="3" t="str">
        <f>HYPERLINK("..\..\Imagery\ScannedPhotos\1986\MN86-258.1.jpg")</f>
        <v>..\..\Imagery\ScannedPhotos\1986\MN86-258.1.jpg</v>
      </c>
    </row>
    <row r="4042" spans="1:13" x14ac:dyDescent="0.25">
      <c r="A4042" t="s">
        <v>9610</v>
      </c>
      <c r="B4042">
        <v>572145</v>
      </c>
      <c r="C4042">
        <v>5830691</v>
      </c>
      <c r="D4042">
        <v>21</v>
      </c>
      <c r="E4042" t="s">
        <v>15</v>
      </c>
      <c r="F4042" t="s">
        <v>9612</v>
      </c>
      <c r="G4042">
        <v>2</v>
      </c>
      <c r="H4042" t="s">
        <v>299</v>
      </c>
      <c r="I4042" t="s">
        <v>47</v>
      </c>
      <c r="J4042" t="s">
        <v>300</v>
      </c>
      <c r="K4042" t="s">
        <v>20</v>
      </c>
      <c r="L4042" t="s">
        <v>4707</v>
      </c>
      <c r="M4042" s="3" t="str">
        <f>HYPERLINK("..\..\Imagery\ScannedPhotos\1986\MN86-258.2.jpg")</f>
        <v>..\..\Imagery\ScannedPhotos\1986\MN86-258.2.jpg</v>
      </c>
    </row>
    <row r="4043" spans="1:13" x14ac:dyDescent="0.25">
      <c r="A4043" t="s">
        <v>9613</v>
      </c>
      <c r="B4043">
        <v>571536</v>
      </c>
      <c r="C4043">
        <v>5830939</v>
      </c>
      <c r="D4043">
        <v>21</v>
      </c>
      <c r="E4043" t="s">
        <v>15</v>
      </c>
      <c r="F4043" t="s">
        <v>9614</v>
      </c>
      <c r="G4043">
        <v>1</v>
      </c>
      <c r="H4043" t="s">
        <v>299</v>
      </c>
      <c r="I4043" t="s">
        <v>52</v>
      </c>
      <c r="J4043" t="s">
        <v>300</v>
      </c>
      <c r="K4043" t="s">
        <v>56</v>
      </c>
      <c r="L4043" t="s">
        <v>9615</v>
      </c>
      <c r="M4043" s="3" t="str">
        <f>HYPERLINK("..\..\Imagery\ScannedPhotos\1986\MN86-259.jpg")</f>
        <v>..\..\Imagery\ScannedPhotos\1986\MN86-259.jpg</v>
      </c>
    </row>
    <row r="4044" spans="1:13" x14ac:dyDescent="0.25">
      <c r="A4044" t="s">
        <v>9616</v>
      </c>
      <c r="B4044">
        <v>571275</v>
      </c>
      <c r="C4044">
        <v>5832461</v>
      </c>
      <c r="D4044">
        <v>21</v>
      </c>
      <c r="E4044" t="s">
        <v>15</v>
      </c>
      <c r="F4044" t="s">
        <v>9617</v>
      </c>
      <c r="G4044">
        <v>1</v>
      </c>
      <c r="H4044" t="s">
        <v>299</v>
      </c>
      <c r="I4044" t="s">
        <v>65</v>
      </c>
      <c r="J4044" t="s">
        <v>300</v>
      </c>
      <c r="K4044" t="s">
        <v>20</v>
      </c>
      <c r="L4044" t="s">
        <v>9618</v>
      </c>
      <c r="M4044" s="3" t="str">
        <f>HYPERLINK("..\..\Imagery\ScannedPhotos\1986\MN86-264.jpg")</f>
        <v>..\..\Imagery\ScannedPhotos\1986\MN86-264.jpg</v>
      </c>
    </row>
    <row r="4045" spans="1:13" x14ac:dyDescent="0.25">
      <c r="A4045" t="s">
        <v>9070</v>
      </c>
      <c r="B4045">
        <v>582547</v>
      </c>
      <c r="C4045">
        <v>5887482</v>
      </c>
      <c r="D4045">
        <v>21</v>
      </c>
      <c r="E4045" t="s">
        <v>15</v>
      </c>
      <c r="F4045" t="s">
        <v>9619</v>
      </c>
      <c r="G4045">
        <v>4</v>
      </c>
      <c r="H4045" t="s">
        <v>4870</v>
      </c>
      <c r="I4045" t="s">
        <v>304</v>
      </c>
      <c r="J4045" t="s">
        <v>138</v>
      </c>
      <c r="K4045" t="s">
        <v>20</v>
      </c>
      <c r="L4045" t="s">
        <v>9072</v>
      </c>
      <c r="M4045" s="3" t="str">
        <f>HYPERLINK("..\..\Imagery\ScannedPhotos\1985\GM85-517.1.jpg")</f>
        <v>..\..\Imagery\ScannedPhotos\1985\GM85-517.1.jpg</v>
      </c>
    </row>
    <row r="4046" spans="1:13" x14ac:dyDescent="0.25">
      <c r="A4046" t="s">
        <v>2835</v>
      </c>
      <c r="B4046">
        <v>452567</v>
      </c>
      <c r="C4046">
        <v>6025283</v>
      </c>
      <c r="D4046">
        <v>21</v>
      </c>
      <c r="E4046" t="s">
        <v>15</v>
      </c>
      <c r="F4046" t="s">
        <v>9620</v>
      </c>
      <c r="G4046">
        <v>3</v>
      </c>
      <c r="H4046" t="s">
        <v>1862</v>
      </c>
      <c r="I4046" t="s">
        <v>217</v>
      </c>
      <c r="J4046" t="s">
        <v>1863</v>
      </c>
      <c r="K4046" t="s">
        <v>20</v>
      </c>
      <c r="L4046" t="s">
        <v>9621</v>
      </c>
      <c r="M4046" s="3" t="str">
        <f>HYPERLINK("..\..\Imagery\ScannedPhotos\1979\CG79-791.1.jpg")</f>
        <v>..\..\Imagery\ScannedPhotos\1979\CG79-791.1.jpg</v>
      </c>
    </row>
    <row r="4047" spans="1:13" x14ac:dyDescent="0.25">
      <c r="A4047" t="s">
        <v>9622</v>
      </c>
      <c r="B4047">
        <v>494608</v>
      </c>
      <c r="C4047">
        <v>5945595</v>
      </c>
      <c r="D4047">
        <v>21</v>
      </c>
      <c r="E4047" t="s">
        <v>15</v>
      </c>
      <c r="F4047" t="s">
        <v>9623</v>
      </c>
      <c r="G4047">
        <v>2</v>
      </c>
      <c r="H4047" t="s">
        <v>113</v>
      </c>
      <c r="I4047" t="s">
        <v>209</v>
      </c>
      <c r="J4047" t="s">
        <v>115</v>
      </c>
      <c r="K4047" t="s">
        <v>20</v>
      </c>
      <c r="L4047" t="s">
        <v>9624</v>
      </c>
      <c r="M4047" s="3" t="str">
        <f>HYPERLINK("..\..\Imagery\ScannedPhotos\1977\MC77-049.1.jpg")</f>
        <v>..\..\Imagery\ScannedPhotos\1977\MC77-049.1.jpg</v>
      </c>
    </row>
    <row r="4048" spans="1:13" x14ac:dyDescent="0.25">
      <c r="A4048" t="s">
        <v>9622</v>
      </c>
      <c r="B4048">
        <v>494608</v>
      </c>
      <c r="C4048">
        <v>5945595</v>
      </c>
      <c r="D4048">
        <v>21</v>
      </c>
      <c r="E4048" t="s">
        <v>15</v>
      </c>
      <c r="F4048" t="s">
        <v>9625</v>
      </c>
      <c r="G4048">
        <v>2</v>
      </c>
      <c r="H4048" t="s">
        <v>113</v>
      </c>
      <c r="I4048" t="s">
        <v>386</v>
      </c>
      <c r="J4048" t="s">
        <v>115</v>
      </c>
      <c r="K4048" t="s">
        <v>20</v>
      </c>
      <c r="L4048" t="s">
        <v>9626</v>
      </c>
      <c r="M4048" s="3" t="str">
        <f>HYPERLINK("..\..\Imagery\ScannedPhotos\1977\MC77-049.2.jpg")</f>
        <v>..\..\Imagery\ScannedPhotos\1977\MC77-049.2.jpg</v>
      </c>
    </row>
    <row r="4049" spans="1:13" x14ac:dyDescent="0.25">
      <c r="A4049" t="s">
        <v>9627</v>
      </c>
      <c r="B4049">
        <v>496512</v>
      </c>
      <c r="C4049">
        <v>5949617</v>
      </c>
      <c r="D4049">
        <v>21</v>
      </c>
      <c r="E4049" t="s">
        <v>15</v>
      </c>
      <c r="F4049" t="s">
        <v>9628</v>
      </c>
      <c r="G4049">
        <v>2</v>
      </c>
      <c r="H4049" t="s">
        <v>113</v>
      </c>
      <c r="I4049" t="s">
        <v>217</v>
      </c>
      <c r="J4049" t="s">
        <v>115</v>
      </c>
      <c r="K4049" t="s">
        <v>20</v>
      </c>
      <c r="L4049" t="s">
        <v>9629</v>
      </c>
      <c r="M4049" s="3" t="str">
        <f>HYPERLINK("..\..\Imagery\ScannedPhotos\1977\MC77-054.1.jpg")</f>
        <v>..\..\Imagery\ScannedPhotos\1977\MC77-054.1.jpg</v>
      </c>
    </row>
    <row r="4050" spans="1:13" x14ac:dyDescent="0.25">
      <c r="A4050" t="s">
        <v>9627</v>
      </c>
      <c r="B4050">
        <v>496512</v>
      </c>
      <c r="C4050">
        <v>5949617</v>
      </c>
      <c r="D4050">
        <v>21</v>
      </c>
      <c r="E4050" t="s">
        <v>15</v>
      </c>
      <c r="F4050" t="s">
        <v>9630</v>
      </c>
      <c r="G4050">
        <v>2</v>
      </c>
      <c r="H4050" t="s">
        <v>113</v>
      </c>
      <c r="I4050" t="s">
        <v>214</v>
      </c>
      <c r="J4050" t="s">
        <v>115</v>
      </c>
      <c r="K4050" t="s">
        <v>56</v>
      </c>
      <c r="L4050" t="s">
        <v>9629</v>
      </c>
      <c r="M4050" s="3" t="str">
        <f>HYPERLINK("..\..\Imagery\ScannedPhotos\1977\MC77-054.2.jpg")</f>
        <v>..\..\Imagery\ScannedPhotos\1977\MC77-054.2.jpg</v>
      </c>
    </row>
    <row r="4051" spans="1:13" x14ac:dyDescent="0.25">
      <c r="A4051" t="s">
        <v>7365</v>
      </c>
      <c r="B4051">
        <v>496843</v>
      </c>
      <c r="C4051">
        <v>5950237</v>
      </c>
      <c r="D4051">
        <v>21</v>
      </c>
      <c r="E4051" t="s">
        <v>15</v>
      </c>
      <c r="F4051" t="s">
        <v>9631</v>
      </c>
      <c r="G4051">
        <v>3</v>
      </c>
      <c r="H4051" t="s">
        <v>113</v>
      </c>
      <c r="I4051" t="s">
        <v>222</v>
      </c>
      <c r="J4051" t="s">
        <v>115</v>
      </c>
      <c r="K4051" t="s">
        <v>56</v>
      </c>
      <c r="L4051" t="s">
        <v>7367</v>
      </c>
      <c r="M4051" s="3" t="str">
        <f>HYPERLINK("..\..\Imagery\ScannedPhotos\1977\MC77-055.1.jpg")</f>
        <v>..\..\Imagery\ScannedPhotos\1977\MC77-055.1.jpg</v>
      </c>
    </row>
    <row r="4052" spans="1:13" x14ac:dyDescent="0.25">
      <c r="A4052" t="s">
        <v>7365</v>
      </c>
      <c r="B4052">
        <v>496843</v>
      </c>
      <c r="C4052">
        <v>5950237</v>
      </c>
      <c r="D4052">
        <v>21</v>
      </c>
      <c r="E4052" t="s">
        <v>15</v>
      </c>
      <c r="F4052" t="s">
        <v>9632</v>
      </c>
      <c r="G4052">
        <v>3</v>
      </c>
      <c r="H4052" t="s">
        <v>113</v>
      </c>
      <c r="I4052" t="s">
        <v>418</v>
      </c>
      <c r="J4052" t="s">
        <v>115</v>
      </c>
      <c r="K4052" t="s">
        <v>56</v>
      </c>
      <c r="L4052" t="s">
        <v>7367</v>
      </c>
      <c r="M4052" s="3" t="str">
        <f>HYPERLINK("..\..\Imagery\ScannedPhotos\1977\MC77-055.2.jpg")</f>
        <v>..\..\Imagery\ScannedPhotos\1977\MC77-055.2.jpg</v>
      </c>
    </row>
    <row r="4053" spans="1:13" x14ac:dyDescent="0.25">
      <c r="A4053" t="s">
        <v>4752</v>
      </c>
      <c r="B4053">
        <v>581968</v>
      </c>
      <c r="C4053">
        <v>5875728</v>
      </c>
      <c r="D4053">
        <v>21</v>
      </c>
      <c r="E4053" t="s">
        <v>15</v>
      </c>
      <c r="F4053" t="s">
        <v>9633</v>
      </c>
      <c r="G4053">
        <v>3</v>
      </c>
      <c r="H4053" t="s">
        <v>1013</v>
      </c>
      <c r="I4053" t="s">
        <v>126</v>
      </c>
      <c r="J4053" t="s">
        <v>1014</v>
      </c>
      <c r="K4053" t="s">
        <v>56</v>
      </c>
      <c r="L4053" t="s">
        <v>6902</v>
      </c>
      <c r="M4053" s="3" t="str">
        <f>HYPERLINK("..\..\Imagery\ScannedPhotos\1985\CG85-472.1.jpg")</f>
        <v>..\..\Imagery\ScannedPhotos\1985\CG85-472.1.jpg</v>
      </c>
    </row>
    <row r="4054" spans="1:13" x14ac:dyDescent="0.25">
      <c r="A4054" t="s">
        <v>9634</v>
      </c>
      <c r="B4054">
        <v>308234</v>
      </c>
      <c r="C4054">
        <v>5872409</v>
      </c>
      <c r="D4054">
        <v>21</v>
      </c>
      <c r="E4054" t="s">
        <v>15</v>
      </c>
      <c r="F4054" t="s">
        <v>9635</v>
      </c>
      <c r="G4054">
        <v>3</v>
      </c>
      <c r="H4054" t="s">
        <v>259</v>
      </c>
      <c r="I4054" t="s">
        <v>35</v>
      </c>
      <c r="J4054" t="s">
        <v>260</v>
      </c>
      <c r="K4054" t="s">
        <v>56</v>
      </c>
      <c r="L4054" t="s">
        <v>9636</v>
      </c>
      <c r="M4054" s="3" t="str">
        <f>HYPERLINK("..\..\Imagery\ScannedPhotos\1998\CG98-003.1.jpg")</f>
        <v>..\..\Imagery\ScannedPhotos\1998\CG98-003.1.jpg</v>
      </c>
    </row>
    <row r="4055" spans="1:13" x14ac:dyDescent="0.25">
      <c r="A4055" t="s">
        <v>9637</v>
      </c>
      <c r="B4055">
        <v>503781</v>
      </c>
      <c r="C4055">
        <v>5865837</v>
      </c>
      <c r="D4055">
        <v>21</v>
      </c>
      <c r="E4055" t="s">
        <v>15</v>
      </c>
      <c r="F4055" t="s">
        <v>9638</v>
      </c>
      <c r="G4055">
        <v>1</v>
      </c>
      <c r="H4055" t="s">
        <v>1212</v>
      </c>
      <c r="I4055" t="s">
        <v>25</v>
      </c>
      <c r="J4055" t="s">
        <v>100</v>
      </c>
      <c r="K4055" t="s">
        <v>56</v>
      </c>
      <c r="L4055" t="s">
        <v>1020</v>
      </c>
      <c r="M4055" s="3" t="str">
        <f>HYPERLINK("..\..\Imagery\ScannedPhotos\1986\JS86-042.jpg")</f>
        <v>..\..\Imagery\ScannedPhotos\1986\JS86-042.jpg</v>
      </c>
    </row>
    <row r="4056" spans="1:13" x14ac:dyDescent="0.25">
      <c r="A4056" t="s">
        <v>2348</v>
      </c>
      <c r="B4056">
        <v>493688</v>
      </c>
      <c r="C4056">
        <v>5832496</v>
      </c>
      <c r="D4056">
        <v>21</v>
      </c>
      <c r="E4056" t="s">
        <v>15</v>
      </c>
      <c r="F4056" t="s">
        <v>9639</v>
      </c>
      <c r="G4056">
        <v>8</v>
      </c>
      <c r="H4056" t="s">
        <v>968</v>
      </c>
      <c r="I4056" t="s">
        <v>69</v>
      </c>
      <c r="J4056" t="s">
        <v>42</v>
      </c>
      <c r="K4056" t="s">
        <v>56</v>
      </c>
      <c r="L4056" t="s">
        <v>9640</v>
      </c>
      <c r="M4056" s="3" t="str">
        <f>HYPERLINK("..\..\Imagery\ScannedPhotos\1991\VN91-001.6.jpg")</f>
        <v>..\..\Imagery\ScannedPhotos\1991\VN91-001.6.jpg</v>
      </c>
    </row>
    <row r="4057" spans="1:13" x14ac:dyDescent="0.25">
      <c r="A4057" t="s">
        <v>9641</v>
      </c>
      <c r="B4057">
        <v>496775</v>
      </c>
      <c r="C4057">
        <v>5864100</v>
      </c>
      <c r="D4057">
        <v>21</v>
      </c>
      <c r="E4057" t="s">
        <v>15</v>
      </c>
      <c r="F4057" t="s">
        <v>9642</v>
      </c>
      <c r="G4057">
        <v>2</v>
      </c>
      <c r="H4057" t="s">
        <v>616</v>
      </c>
      <c r="I4057" t="s">
        <v>94</v>
      </c>
      <c r="J4057" t="s">
        <v>413</v>
      </c>
      <c r="K4057" t="s">
        <v>20</v>
      </c>
      <c r="L4057" t="s">
        <v>322</v>
      </c>
      <c r="M4057" s="3" t="str">
        <f>HYPERLINK("..\..\Imagery\ScannedPhotos\1991\DD91-032.2.jpg")</f>
        <v>..\..\Imagery\ScannedPhotos\1991\DD91-032.2.jpg</v>
      </c>
    </row>
    <row r="4058" spans="1:13" x14ac:dyDescent="0.25">
      <c r="A4058" t="s">
        <v>9643</v>
      </c>
      <c r="B4058">
        <v>497575</v>
      </c>
      <c r="C4058">
        <v>5863125</v>
      </c>
      <c r="D4058">
        <v>21</v>
      </c>
      <c r="E4058" t="s">
        <v>15</v>
      </c>
      <c r="F4058" t="s">
        <v>9644</v>
      </c>
      <c r="G4058">
        <v>2</v>
      </c>
      <c r="H4058" t="s">
        <v>616</v>
      </c>
      <c r="I4058" t="s">
        <v>209</v>
      </c>
      <c r="J4058" t="s">
        <v>413</v>
      </c>
      <c r="K4058" t="s">
        <v>20</v>
      </c>
      <c r="L4058" t="s">
        <v>772</v>
      </c>
      <c r="M4058" s="3" t="str">
        <f>HYPERLINK("..\..\Imagery\ScannedPhotos\1991\DD91-033.1.jpg")</f>
        <v>..\..\Imagery\ScannedPhotos\1991\DD91-033.1.jpg</v>
      </c>
    </row>
    <row r="4059" spans="1:13" x14ac:dyDescent="0.25">
      <c r="A4059" t="s">
        <v>9643</v>
      </c>
      <c r="B4059">
        <v>497575</v>
      </c>
      <c r="C4059">
        <v>5863125</v>
      </c>
      <c r="D4059">
        <v>21</v>
      </c>
      <c r="E4059" t="s">
        <v>15</v>
      </c>
      <c r="F4059" t="s">
        <v>9645</v>
      </c>
      <c r="G4059">
        <v>2</v>
      </c>
      <c r="H4059" t="s">
        <v>616</v>
      </c>
      <c r="I4059" t="s">
        <v>386</v>
      </c>
      <c r="J4059" t="s">
        <v>413</v>
      </c>
      <c r="K4059" t="s">
        <v>20</v>
      </c>
      <c r="L4059" t="s">
        <v>772</v>
      </c>
      <c r="M4059" s="3" t="str">
        <f>HYPERLINK("..\..\Imagery\ScannedPhotos\1991\DD91-033.2.jpg")</f>
        <v>..\..\Imagery\ScannedPhotos\1991\DD91-033.2.jpg</v>
      </c>
    </row>
    <row r="4060" spans="1:13" x14ac:dyDescent="0.25">
      <c r="A4060" t="s">
        <v>9646</v>
      </c>
      <c r="B4060">
        <v>498125</v>
      </c>
      <c r="C4060">
        <v>5862200</v>
      </c>
      <c r="D4060">
        <v>21</v>
      </c>
      <c r="E4060" t="s">
        <v>15</v>
      </c>
      <c r="F4060" t="s">
        <v>9647</v>
      </c>
      <c r="G4060">
        <v>2</v>
      </c>
      <c r="H4060" t="s">
        <v>616</v>
      </c>
      <c r="I4060" t="s">
        <v>217</v>
      </c>
      <c r="J4060" t="s">
        <v>413</v>
      </c>
      <c r="K4060" t="s">
        <v>20</v>
      </c>
      <c r="L4060" t="s">
        <v>322</v>
      </c>
      <c r="M4060" s="3" t="str">
        <f>HYPERLINK("..\..\Imagery\ScannedPhotos\1991\DD91-034.1.jpg")</f>
        <v>..\..\Imagery\ScannedPhotos\1991\DD91-034.1.jpg</v>
      </c>
    </row>
    <row r="4061" spans="1:13" x14ac:dyDescent="0.25">
      <c r="A4061" t="s">
        <v>9646</v>
      </c>
      <c r="B4061">
        <v>498125</v>
      </c>
      <c r="C4061">
        <v>5862200</v>
      </c>
      <c r="D4061">
        <v>21</v>
      </c>
      <c r="E4061" t="s">
        <v>15</v>
      </c>
      <c r="F4061" t="s">
        <v>9648</v>
      </c>
      <c r="G4061">
        <v>2</v>
      </c>
      <c r="H4061" t="s">
        <v>616</v>
      </c>
      <c r="I4061" t="s">
        <v>214</v>
      </c>
      <c r="J4061" t="s">
        <v>413</v>
      </c>
      <c r="K4061" t="s">
        <v>20</v>
      </c>
      <c r="L4061" t="s">
        <v>322</v>
      </c>
      <c r="M4061" s="3" t="str">
        <f>HYPERLINK("..\..\Imagery\ScannedPhotos\1991\DD91-034.2.jpg")</f>
        <v>..\..\Imagery\ScannedPhotos\1991\DD91-034.2.jpg</v>
      </c>
    </row>
    <row r="4062" spans="1:13" x14ac:dyDescent="0.25">
      <c r="A4062" t="s">
        <v>1070</v>
      </c>
      <c r="B4062">
        <v>496425</v>
      </c>
      <c r="C4062">
        <v>5860025</v>
      </c>
      <c r="D4062">
        <v>21</v>
      </c>
      <c r="E4062" t="s">
        <v>15</v>
      </c>
      <c r="F4062" t="s">
        <v>9649</v>
      </c>
      <c r="G4062">
        <v>6</v>
      </c>
      <c r="H4062" t="s">
        <v>616</v>
      </c>
      <c r="I4062" t="s">
        <v>25</v>
      </c>
      <c r="J4062" t="s">
        <v>413</v>
      </c>
      <c r="K4062" t="s">
        <v>20</v>
      </c>
      <c r="L4062" t="s">
        <v>2638</v>
      </c>
      <c r="M4062" s="3" t="str">
        <f>HYPERLINK("..\..\Imagery\ScannedPhotos\1991\DD91-037.5.jpg")</f>
        <v>..\..\Imagery\ScannedPhotos\1991\DD91-037.5.jpg</v>
      </c>
    </row>
    <row r="4063" spans="1:13" x14ac:dyDescent="0.25">
      <c r="A4063" t="s">
        <v>9650</v>
      </c>
      <c r="B4063">
        <v>509911</v>
      </c>
      <c r="C4063">
        <v>5953383</v>
      </c>
      <c r="D4063">
        <v>21</v>
      </c>
      <c r="E4063" t="s">
        <v>15</v>
      </c>
      <c r="F4063" t="s">
        <v>9651</v>
      </c>
      <c r="G4063">
        <v>2</v>
      </c>
      <c r="H4063" t="s">
        <v>6876</v>
      </c>
      <c r="I4063" t="s">
        <v>281</v>
      </c>
      <c r="J4063" t="s">
        <v>48</v>
      </c>
      <c r="K4063" t="s">
        <v>20</v>
      </c>
      <c r="L4063" t="s">
        <v>9652</v>
      </c>
      <c r="M4063" s="3" t="str">
        <f>HYPERLINK("..\..\Imagery\ScannedPhotos\1981\VO81-014.2.jpg")</f>
        <v>..\..\Imagery\ScannedPhotos\1981\VO81-014.2.jpg</v>
      </c>
    </row>
    <row r="4064" spans="1:13" x14ac:dyDescent="0.25">
      <c r="A4064" t="s">
        <v>9650</v>
      </c>
      <c r="B4064">
        <v>509911</v>
      </c>
      <c r="C4064">
        <v>5953383</v>
      </c>
      <c r="D4064">
        <v>21</v>
      </c>
      <c r="E4064" t="s">
        <v>15</v>
      </c>
      <c r="F4064" t="s">
        <v>9653</v>
      </c>
      <c r="G4064">
        <v>2</v>
      </c>
      <c r="H4064" t="s">
        <v>6876</v>
      </c>
      <c r="I4064" t="s">
        <v>79</v>
      </c>
      <c r="J4064" t="s">
        <v>48</v>
      </c>
      <c r="K4064" t="s">
        <v>20</v>
      </c>
      <c r="L4064" t="s">
        <v>9654</v>
      </c>
      <c r="M4064" s="3" t="str">
        <f>HYPERLINK("..\..\Imagery\ScannedPhotos\1981\VO81-014.1.jpg")</f>
        <v>..\..\Imagery\ScannedPhotos\1981\VO81-014.1.jpg</v>
      </c>
    </row>
    <row r="4065" spans="1:13" x14ac:dyDescent="0.25">
      <c r="A4065" t="s">
        <v>9655</v>
      </c>
      <c r="B4065">
        <v>510184</v>
      </c>
      <c r="C4065">
        <v>5954008</v>
      </c>
      <c r="D4065">
        <v>21</v>
      </c>
      <c r="E4065" t="s">
        <v>15</v>
      </c>
      <c r="F4065" t="s">
        <v>9656</v>
      </c>
      <c r="G4065">
        <v>1</v>
      </c>
      <c r="H4065" t="s">
        <v>6876</v>
      </c>
      <c r="I4065" t="s">
        <v>137</v>
      </c>
      <c r="J4065" t="s">
        <v>48</v>
      </c>
      <c r="K4065" t="s">
        <v>20</v>
      </c>
      <c r="L4065" t="s">
        <v>9657</v>
      </c>
      <c r="M4065" s="3" t="str">
        <f>HYPERLINK("..\..\Imagery\ScannedPhotos\1981\VO81-016.jpg")</f>
        <v>..\..\Imagery\ScannedPhotos\1981\VO81-016.jpg</v>
      </c>
    </row>
    <row r="4066" spans="1:13" x14ac:dyDescent="0.25">
      <c r="A4066" t="s">
        <v>9658</v>
      </c>
      <c r="B4066">
        <v>406948</v>
      </c>
      <c r="C4066">
        <v>5992523</v>
      </c>
      <c r="D4066">
        <v>21</v>
      </c>
      <c r="E4066" t="s">
        <v>15</v>
      </c>
      <c r="F4066" t="s">
        <v>9659</v>
      </c>
      <c r="G4066">
        <v>3</v>
      </c>
      <c r="H4066" t="s">
        <v>1133</v>
      </c>
      <c r="I4066" t="s">
        <v>41</v>
      </c>
      <c r="J4066" t="s">
        <v>623</v>
      </c>
      <c r="K4066" t="s">
        <v>20</v>
      </c>
      <c r="L4066" t="s">
        <v>9660</v>
      </c>
      <c r="M4066" s="3" t="str">
        <f>HYPERLINK("..\..\Imagery\ScannedPhotos\1980\CG80-178.3.jpg")</f>
        <v>..\..\Imagery\ScannedPhotos\1980\CG80-178.3.jpg</v>
      </c>
    </row>
    <row r="4067" spans="1:13" x14ac:dyDescent="0.25">
      <c r="A4067" t="s">
        <v>9658</v>
      </c>
      <c r="B4067">
        <v>406948</v>
      </c>
      <c r="C4067">
        <v>5992523</v>
      </c>
      <c r="D4067">
        <v>21</v>
      </c>
      <c r="E4067" t="s">
        <v>15</v>
      </c>
      <c r="F4067" t="s">
        <v>9661</v>
      </c>
      <c r="G4067">
        <v>3</v>
      </c>
      <c r="H4067" t="s">
        <v>1133</v>
      </c>
      <c r="I4067" t="s">
        <v>74</v>
      </c>
      <c r="J4067" t="s">
        <v>623</v>
      </c>
      <c r="K4067" t="s">
        <v>20</v>
      </c>
      <c r="L4067" t="s">
        <v>9662</v>
      </c>
      <c r="M4067" s="3" t="str">
        <f>HYPERLINK("..\..\Imagery\ScannedPhotos\1980\CG80-178.2.jpg")</f>
        <v>..\..\Imagery\ScannedPhotos\1980\CG80-178.2.jpg</v>
      </c>
    </row>
    <row r="4068" spans="1:13" x14ac:dyDescent="0.25">
      <c r="A4068" t="s">
        <v>9658</v>
      </c>
      <c r="B4068">
        <v>406948</v>
      </c>
      <c r="C4068">
        <v>5992523</v>
      </c>
      <c r="D4068">
        <v>21</v>
      </c>
      <c r="E4068" t="s">
        <v>15</v>
      </c>
      <c r="F4068" t="s">
        <v>9663</v>
      </c>
      <c r="G4068">
        <v>3</v>
      </c>
      <c r="H4068" t="s">
        <v>1133</v>
      </c>
      <c r="I4068" t="s">
        <v>69</v>
      </c>
      <c r="J4068" t="s">
        <v>623</v>
      </c>
      <c r="K4068" t="s">
        <v>20</v>
      </c>
      <c r="L4068" t="s">
        <v>9664</v>
      </c>
      <c r="M4068" s="3" t="str">
        <f>HYPERLINK("..\..\Imagery\ScannedPhotos\1980\CG80-178.1.jpg")</f>
        <v>..\..\Imagery\ScannedPhotos\1980\CG80-178.1.jpg</v>
      </c>
    </row>
    <row r="4069" spans="1:13" x14ac:dyDescent="0.25">
      <c r="A4069" t="s">
        <v>9665</v>
      </c>
      <c r="B4069">
        <v>406843</v>
      </c>
      <c r="C4069">
        <v>5992276</v>
      </c>
      <c r="D4069">
        <v>21</v>
      </c>
      <c r="E4069" t="s">
        <v>15</v>
      </c>
      <c r="F4069" t="s">
        <v>9666</v>
      </c>
      <c r="G4069">
        <v>1</v>
      </c>
      <c r="H4069" t="s">
        <v>1133</v>
      </c>
      <c r="I4069" t="s">
        <v>85</v>
      </c>
      <c r="J4069" t="s">
        <v>623</v>
      </c>
      <c r="K4069" t="s">
        <v>20</v>
      </c>
      <c r="L4069" t="s">
        <v>9667</v>
      </c>
      <c r="M4069" s="3" t="str">
        <f>HYPERLINK("..\..\Imagery\ScannedPhotos\1980\CG80-179.jpg")</f>
        <v>..\..\Imagery\ScannedPhotos\1980\CG80-179.jpg</v>
      </c>
    </row>
    <row r="4070" spans="1:13" x14ac:dyDescent="0.25">
      <c r="A4070" t="s">
        <v>9668</v>
      </c>
      <c r="B4070">
        <v>406756</v>
      </c>
      <c r="C4070">
        <v>5992131</v>
      </c>
      <c r="D4070">
        <v>21</v>
      </c>
      <c r="E4070" t="s">
        <v>15</v>
      </c>
      <c r="F4070" t="s">
        <v>9669</v>
      </c>
      <c r="G4070">
        <v>1</v>
      </c>
      <c r="H4070" t="s">
        <v>1133</v>
      </c>
      <c r="I4070" t="s">
        <v>375</v>
      </c>
      <c r="J4070" t="s">
        <v>623</v>
      </c>
      <c r="K4070" t="s">
        <v>20</v>
      </c>
      <c r="L4070" t="s">
        <v>9670</v>
      </c>
      <c r="M4070" s="3" t="str">
        <f>HYPERLINK("..\..\Imagery\ScannedPhotos\1980\CG80-180.jpg")</f>
        <v>..\..\Imagery\ScannedPhotos\1980\CG80-180.jpg</v>
      </c>
    </row>
    <row r="4071" spans="1:13" x14ac:dyDescent="0.25">
      <c r="A4071" t="s">
        <v>9671</v>
      </c>
      <c r="B4071">
        <v>405903</v>
      </c>
      <c r="C4071">
        <v>5991596</v>
      </c>
      <c r="D4071">
        <v>21</v>
      </c>
      <c r="E4071" t="s">
        <v>15</v>
      </c>
      <c r="F4071" t="s">
        <v>9672</v>
      </c>
      <c r="G4071">
        <v>1</v>
      </c>
      <c r="H4071" t="s">
        <v>1133</v>
      </c>
      <c r="I4071" t="s">
        <v>94</v>
      </c>
      <c r="J4071" t="s">
        <v>623</v>
      </c>
      <c r="K4071" t="s">
        <v>20</v>
      </c>
      <c r="L4071" t="s">
        <v>9673</v>
      </c>
      <c r="M4071" s="3" t="str">
        <f>HYPERLINK("..\..\Imagery\ScannedPhotos\1980\CG80-183.jpg")</f>
        <v>..\..\Imagery\ScannedPhotos\1980\CG80-183.jpg</v>
      </c>
    </row>
    <row r="4072" spans="1:13" x14ac:dyDescent="0.25">
      <c r="A4072" t="s">
        <v>9674</v>
      </c>
      <c r="B4072">
        <v>405394</v>
      </c>
      <c r="C4072">
        <v>5991380</v>
      </c>
      <c r="D4072">
        <v>21</v>
      </c>
      <c r="E4072" t="s">
        <v>15</v>
      </c>
      <c r="F4072" t="s">
        <v>9675</v>
      </c>
      <c r="G4072">
        <v>1</v>
      </c>
      <c r="H4072" t="s">
        <v>1133</v>
      </c>
      <c r="I4072" t="s">
        <v>209</v>
      </c>
      <c r="J4072" t="s">
        <v>623</v>
      </c>
      <c r="K4072" t="s">
        <v>20</v>
      </c>
      <c r="L4072" t="s">
        <v>9676</v>
      </c>
      <c r="M4072" s="3" t="str">
        <f>HYPERLINK("..\..\Imagery\ScannedPhotos\1980\CG80-185.jpg")</f>
        <v>..\..\Imagery\ScannedPhotos\1980\CG80-185.jpg</v>
      </c>
    </row>
    <row r="4073" spans="1:13" x14ac:dyDescent="0.25">
      <c r="A4073" t="s">
        <v>4649</v>
      </c>
      <c r="B4073">
        <v>473462</v>
      </c>
      <c r="C4073">
        <v>5929106</v>
      </c>
      <c r="D4073">
        <v>21</v>
      </c>
      <c r="E4073" t="s">
        <v>15</v>
      </c>
      <c r="F4073" t="s">
        <v>9677</v>
      </c>
      <c r="G4073">
        <v>2</v>
      </c>
      <c r="H4073" t="s">
        <v>107</v>
      </c>
      <c r="I4073" t="s">
        <v>114</v>
      </c>
      <c r="J4073" t="s">
        <v>48</v>
      </c>
      <c r="K4073" t="s">
        <v>20</v>
      </c>
      <c r="L4073" t="s">
        <v>4651</v>
      </c>
      <c r="M4073" s="3" t="str">
        <f>HYPERLINK("..\..\Imagery\ScannedPhotos\1981\CG81-187.1.jpg")</f>
        <v>..\..\Imagery\ScannedPhotos\1981\CG81-187.1.jpg</v>
      </c>
    </row>
    <row r="4074" spans="1:13" x14ac:dyDescent="0.25">
      <c r="A4074" t="s">
        <v>3595</v>
      </c>
      <c r="B4074">
        <v>541372</v>
      </c>
      <c r="C4074">
        <v>5731323</v>
      </c>
      <c r="D4074">
        <v>21</v>
      </c>
      <c r="E4074" t="s">
        <v>15</v>
      </c>
      <c r="F4074" t="s">
        <v>9678</v>
      </c>
      <c r="G4074">
        <v>2</v>
      </c>
      <c r="H4074" t="s">
        <v>3597</v>
      </c>
      <c r="I4074" t="s">
        <v>147</v>
      </c>
      <c r="J4074" t="s">
        <v>3598</v>
      </c>
      <c r="K4074" t="s">
        <v>20</v>
      </c>
      <c r="L4074" t="s">
        <v>9679</v>
      </c>
      <c r="M4074" s="3" t="str">
        <f>HYPERLINK("..\..\Imagery\ScannedPhotos\1993\VN93-039.2.jpg")</f>
        <v>..\..\Imagery\ScannedPhotos\1993\VN93-039.2.jpg</v>
      </c>
    </row>
    <row r="4075" spans="1:13" x14ac:dyDescent="0.25">
      <c r="A4075" t="s">
        <v>7976</v>
      </c>
      <c r="B4075">
        <v>541617</v>
      </c>
      <c r="C4075">
        <v>5731367</v>
      </c>
      <c r="D4075">
        <v>21</v>
      </c>
      <c r="E4075" t="s">
        <v>15</v>
      </c>
      <c r="F4075" t="s">
        <v>9680</v>
      </c>
      <c r="G4075">
        <v>4</v>
      </c>
      <c r="H4075" t="s">
        <v>3597</v>
      </c>
      <c r="I4075" t="s">
        <v>47</v>
      </c>
      <c r="J4075" t="s">
        <v>3598</v>
      </c>
      <c r="K4075" t="s">
        <v>56</v>
      </c>
      <c r="L4075" t="s">
        <v>9681</v>
      </c>
      <c r="M4075" s="3" t="str">
        <f>HYPERLINK("..\..\Imagery\ScannedPhotos\1993\VN93-041.1.jpg")</f>
        <v>..\..\Imagery\ScannedPhotos\1993\VN93-041.1.jpg</v>
      </c>
    </row>
    <row r="4076" spans="1:13" x14ac:dyDescent="0.25">
      <c r="A4076" t="s">
        <v>9682</v>
      </c>
      <c r="B4076">
        <v>555989</v>
      </c>
      <c r="C4076">
        <v>5821969</v>
      </c>
      <c r="D4076">
        <v>21</v>
      </c>
      <c r="E4076" t="s">
        <v>15</v>
      </c>
      <c r="F4076" t="s">
        <v>9683</v>
      </c>
      <c r="G4076">
        <v>3</v>
      </c>
      <c r="H4076" t="s">
        <v>24</v>
      </c>
      <c r="I4076" t="s">
        <v>129</v>
      </c>
      <c r="J4076" t="s">
        <v>26</v>
      </c>
      <c r="K4076" t="s">
        <v>20</v>
      </c>
      <c r="L4076" t="s">
        <v>9684</v>
      </c>
      <c r="M4076" s="3" t="str">
        <f>HYPERLINK("..\..\Imagery\ScannedPhotos\1986\CG86-046.1.jpg")</f>
        <v>..\..\Imagery\ScannedPhotos\1986\CG86-046.1.jpg</v>
      </c>
    </row>
    <row r="4077" spans="1:13" x14ac:dyDescent="0.25">
      <c r="A4077" t="s">
        <v>9682</v>
      </c>
      <c r="B4077">
        <v>555989</v>
      </c>
      <c r="C4077">
        <v>5821969</v>
      </c>
      <c r="D4077">
        <v>21</v>
      </c>
      <c r="E4077" t="s">
        <v>15</v>
      </c>
      <c r="F4077" t="s">
        <v>9685</v>
      </c>
      <c r="G4077">
        <v>3</v>
      </c>
      <c r="H4077" t="s">
        <v>24</v>
      </c>
      <c r="I4077" t="s">
        <v>147</v>
      </c>
      <c r="J4077" t="s">
        <v>26</v>
      </c>
      <c r="K4077" t="s">
        <v>20</v>
      </c>
      <c r="L4077" t="s">
        <v>9686</v>
      </c>
      <c r="M4077" s="3" t="str">
        <f>HYPERLINK("..\..\Imagery\ScannedPhotos\1986\CG86-046.3.jpg")</f>
        <v>..\..\Imagery\ScannedPhotos\1986\CG86-046.3.jpg</v>
      </c>
    </row>
    <row r="4078" spans="1:13" x14ac:dyDescent="0.25">
      <c r="A4078" t="s">
        <v>9682</v>
      </c>
      <c r="B4078">
        <v>555989</v>
      </c>
      <c r="C4078">
        <v>5821969</v>
      </c>
      <c r="D4078">
        <v>21</v>
      </c>
      <c r="E4078" t="s">
        <v>15</v>
      </c>
      <c r="F4078" t="s">
        <v>9687</v>
      </c>
      <c r="G4078">
        <v>3</v>
      </c>
      <c r="H4078" t="s">
        <v>24</v>
      </c>
      <c r="I4078" t="s">
        <v>143</v>
      </c>
      <c r="J4078" t="s">
        <v>26</v>
      </c>
      <c r="K4078" t="s">
        <v>20</v>
      </c>
      <c r="L4078" t="s">
        <v>9688</v>
      </c>
      <c r="M4078" s="3" t="str">
        <f>HYPERLINK("..\..\Imagery\ScannedPhotos\1986\CG86-046.2.jpg")</f>
        <v>..\..\Imagery\ScannedPhotos\1986\CG86-046.2.jpg</v>
      </c>
    </row>
    <row r="4079" spans="1:13" x14ac:dyDescent="0.25">
      <c r="A4079" t="s">
        <v>9117</v>
      </c>
      <c r="B4079">
        <v>343243</v>
      </c>
      <c r="C4079">
        <v>5812334</v>
      </c>
      <c r="D4079">
        <v>21</v>
      </c>
      <c r="E4079" t="s">
        <v>15</v>
      </c>
      <c r="F4079" t="s">
        <v>9689</v>
      </c>
      <c r="G4079">
        <v>7</v>
      </c>
      <c r="H4079" t="s">
        <v>3404</v>
      </c>
      <c r="I4079" t="s">
        <v>222</v>
      </c>
      <c r="J4079" t="s">
        <v>80</v>
      </c>
      <c r="K4079" t="s">
        <v>20</v>
      </c>
      <c r="L4079" t="s">
        <v>9690</v>
      </c>
      <c r="M4079" s="3" t="str">
        <f>HYPERLINK("..\..\Imagery\ScannedPhotos\2000\CG00-319.1.jpg")</f>
        <v>..\..\Imagery\ScannedPhotos\2000\CG00-319.1.jpg</v>
      </c>
    </row>
    <row r="4080" spans="1:13" x14ac:dyDescent="0.25">
      <c r="A4080" t="s">
        <v>9117</v>
      </c>
      <c r="B4080">
        <v>343243</v>
      </c>
      <c r="C4080">
        <v>5812334</v>
      </c>
      <c r="D4080">
        <v>21</v>
      </c>
      <c r="E4080" t="s">
        <v>15</v>
      </c>
      <c r="F4080" t="s">
        <v>9691</v>
      </c>
      <c r="G4080">
        <v>7</v>
      </c>
      <c r="H4080" t="s">
        <v>3404</v>
      </c>
      <c r="I4080" t="s">
        <v>418</v>
      </c>
      <c r="J4080" t="s">
        <v>80</v>
      </c>
      <c r="K4080" t="s">
        <v>20</v>
      </c>
      <c r="L4080" t="s">
        <v>9692</v>
      </c>
      <c r="M4080" s="3" t="str">
        <f>HYPERLINK("..\..\Imagery\ScannedPhotos\2000\CG00-319.2.jpg")</f>
        <v>..\..\Imagery\ScannedPhotos\2000\CG00-319.2.jpg</v>
      </c>
    </row>
    <row r="4081" spans="1:13" x14ac:dyDescent="0.25">
      <c r="A4081" t="s">
        <v>6297</v>
      </c>
      <c r="B4081">
        <v>453625</v>
      </c>
      <c r="C4081">
        <v>5827650</v>
      </c>
      <c r="D4081">
        <v>21</v>
      </c>
      <c r="E4081" t="s">
        <v>15</v>
      </c>
      <c r="F4081" t="s">
        <v>9693</v>
      </c>
      <c r="G4081">
        <v>5</v>
      </c>
      <c r="H4081" t="s">
        <v>4733</v>
      </c>
      <c r="I4081" t="s">
        <v>85</v>
      </c>
      <c r="J4081" t="s">
        <v>4734</v>
      </c>
      <c r="K4081" t="s">
        <v>20</v>
      </c>
      <c r="L4081" t="s">
        <v>6299</v>
      </c>
      <c r="M4081" s="3" t="str">
        <f>HYPERLINK("..\..\Imagery\ScannedPhotos\1991\CG91-072.3.jpg")</f>
        <v>..\..\Imagery\ScannedPhotos\1991\CG91-072.3.jpg</v>
      </c>
    </row>
    <row r="4082" spans="1:13" x14ac:dyDescent="0.25">
      <c r="A4082" t="s">
        <v>9694</v>
      </c>
      <c r="B4082">
        <v>454650</v>
      </c>
      <c r="C4082">
        <v>5812237</v>
      </c>
      <c r="D4082">
        <v>21</v>
      </c>
      <c r="E4082" t="s">
        <v>15</v>
      </c>
      <c r="F4082" t="s">
        <v>9695</v>
      </c>
      <c r="G4082">
        <v>1</v>
      </c>
      <c r="H4082" t="s">
        <v>2340</v>
      </c>
      <c r="I4082" t="s">
        <v>222</v>
      </c>
      <c r="J4082" t="s">
        <v>2341</v>
      </c>
      <c r="K4082" t="s">
        <v>56</v>
      </c>
      <c r="L4082" t="s">
        <v>9696</v>
      </c>
      <c r="M4082" s="3" t="str">
        <f>HYPERLINK("..\..\Imagery\ScannedPhotos\1992\CG92-006.jpg")</f>
        <v>..\..\Imagery\ScannedPhotos\1992\CG92-006.jpg</v>
      </c>
    </row>
    <row r="4083" spans="1:13" x14ac:dyDescent="0.25">
      <c r="A4083" t="s">
        <v>9697</v>
      </c>
      <c r="B4083">
        <v>466368</v>
      </c>
      <c r="C4083">
        <v>5792775</v>
      </c>
      <c r="D4083">
        <v>21</v>
      </c>
      <c r="E4083" t="s">
        <v>15</v>
      </c>
      <c r="F4083" t="s">
        <v>9698</v>
      </c>
      <c r="G4083">
        <v>1</v>
      </c>
      <c r="H4083" t="s">
        <v>2499</v>
      </c>
      <c r="I4083" t="s">
        <v>114</v>
      </c>
      <c r="J4083" t="s">
        <v>48</v>
      </c>
      <c r="K4083" t="s">
        <v>56</v>
      </c>
      <c r="L4083" t="s">
        <v>3976</v>
      </c>
      <c r="M4083" s="3" t="str">
        <f>HYPERLINK("..\..\Imagery\ScannedPhotos\1992\CG92-023.jpg")</f>
        <v>..\..\Imagery\ScannedPhotos\1992\CG92-023.jpg</v>
      </c>
    </row>
    <row r="4084" spans="1:13" x14ac:dyDescent="0.25">
      <c r="A4084" t="s">
        <v>9699</v>
      </c>
      <c r="B4084">
        <v>494060</v>
      </c>
      <c r="C4084">
        <v>5952881</v>
      </c>
      <c r="D4084">
        <v>21</v>
      </c>
      <c r="E4084" t="s">
        <v>15</v>
      </c>
      <c r="F4084" t="s">
        <v>9700</v>
      </c>
      <c r="G4084">
        <v>2</v>
      </c>
      <c r="H4084" t="s">
        <v>113</v>
      </c>
      <c r="I4084" t="s">
        <v>647</v>
      </c>
      <c r="J4084" t="s">
        <v>115</v>
      </c>
      <c r="K4084" t="s">
        <v>20</v>
      </c>
      <c r="L4084" t="s">
        <v>9701</v>
      </c>
      <c r="M4084" s="3" t="str">
        <f>HYPERLINK("..\..\Imagery\ScannedPhotos\1977\MC77-061.1.jpg")</f>
        <v>..\..\Imagery\ScannedPhotos\1977\MC77-061.1.jpg</v>
      </c>
    </row>
    <row r="4085" spans="1:13" x14ac:dyDescent="0.25">
      <c r="A4085" t="s">
        <v>9699</v>
      </c>
      <c r="B4085">
        <v>494060</v>
      </c>
      <c r="C4085">
        <v>5952881</v>
      </c>
      <c r="D4085">
        <v>21</v>
      </c>
      <c r="E4085" t="s">
        <v>15</v>
      </c>
      <c r="F4085" t="s">
        <v>9702</v>
      </c>
      <c r="G4085">
        <v>2</v>
      </c>
      <c r="H4085" t="s">
        <v>113</v>
      </c>
      <c r="I4085" t="s">
        <v>30</v>
      </c>
      <c r="J4085" t="s">
        <v>115</v>
      </c>
      <c r="K4085" t="s">
        <v>20</v>
      </c>
      <c r="L4085" t="s">
        <v>9703</v>
      </c>
      <c r="M4085" s="3" t="str">
        <f>HYPERLINK("..\..\Imagery\ScannedPhotos\1977\MC77-061.2.jpg")</f>
        <v>..\..\Imagery\ScannedPhotos\1977\MC77-061.2.jpg</v>
      </c>
    </row>
    <row r="4086" spans="1:13" x14ac:dyDescent="0.25">
      <c r="A4086" t="s">
        <v>9704</v>
      </c>
      <c r="B4086">
        <v>512092</v>
      </c>
      <c r="C4086">
        <v>5954071</v>
      </c>
      <c r="D4086">
        <v>21</v>
      </c>
      <c r="E4086" t="s">
        <v>15</v>
      </c>
      <c r="F4086" t="s">
        <v>9705</v>
      </c>
      <c r="G4086">
        <v>2</v>
      </c>
      <c r="H4086" t="s">
        <v>3158</v>
      </c>
      <c r="I4086" t="s">
        <v>85</v>
      </c>
      <c r="J4086" t="s">
        <v>48</v>
      </c>
      <c r="K4086" t="s">
        <v>20</v>
      </c>
      <c r="L4086" t="s">
        <v>9706</v>
      </c>
      <c r="M4086" s="3" t="str">
        <f>HYPERLINK("..\..\Imagery\ScannedPhotos\1981\VO81-021.2.jpg")</f>
        <v>..\..\Imagery\ScannedPhotos\1981\VO81-021.2.jpg</v>
      </c>
    </row>
    <row r="4087" spans="1:13" x14ac:dyDescent="0.25">
      <c r="A4087" t="s">
        <v>9707</v>
      </c>
      <c r="B4087">
        <v>550504</v>
      </c>
      <c r="C4087">
        <v>5864388</v>
      </c>
      <c r="D4087">
        <v>21</v>
      </c>
      <c r="E4087" t="s">
        <v>15</v>
      </c>
      <c r="F4087" t="s">
        <v>9708</v>
      </c>
      <c r="G4087">
        <v>1</v>
      </c>
      <c r="H4087" t="s">
        <v>2018</v>
      </c>
      <c r="I4087" t="s">
        <v>143</v>
      </c>
      <c r="J4087" t="s">
        <v>2019</v>
      </c>
      <c r="K4087" t="s">
        <v>20</v>
      </c>
      <c r="L4087" t="s">
        <v>9709</v>
      </c>
      <c r="M4087" s="3" t="str">
        <f>HYPERLINK("..\..\Imagery\ScannedPhotos\1986\SN86-106.jpg")</f>
        <v>..\..\Imagery\ScannedPhotos\1986\SN86-106.jpg</v>
      </c>
    </row>
    <row r="4088" spans="1:13" x14ac:dyDescent="0.25">
      <c r="A4088" t="s">
        <v>9710</v>
      </c>
      <c r="B4088">
        <v>551348</v>
      </c>
      <c r="C4088">
        <v>5865295</v>
      </c>
      <c r="D4088">
        <v>21</v>
      </c>
      <c r="E4088" t="s">
        <v>15</v>
      </c>
      <c r="F4088" t="s">
        <v>9711</v>
      </c>
      <c r="G4088">
        <v>1</v>
      </c>
      <c r="H4088" t="s">
        <v>2018</v>
      </c>
      <c r="I4088" t="s">
        <v>147</v>
      </c>
      <c r="J4088" t="s">
        <v>2019</v>
      </c>
      <c r="K4088" t="s">
        <v>20</v>
      </c>
      <c r="L4088" t="s">
        <v>9712</v>
      </c>
      <c r="M4088" s="3" t="str">
        <f>HYPERLINK("..\..\Imagery\ScannedPhotos\1986\SN86-107.jpg")</f>
        <v>..\..\Imagery\ScannedPhotos\1986\SN86-107.jpg</v>
      </c>
    </row>
    <row r="4089" spans="1:13" x14ac:dyDescent="0.25">
      <c r="A4089" t="s">
        <v>2792</v>
      </c>
      <c r="B4089">
        <v>488150</v>
      </c>
      <c r="C4089">
        <v>5847950</v>
      </c>
      <c r="D4089">
        <v>21</v>
      </c>
      <c r="E4089" t="s">
        <v>15</v>
      </c>
      <c r="F4089" t="s">
        <v>9713</v>
      </c>
      <c r="G4089">
        <v>3</v>
      </c>
      <c r="H4089" t="s">
        <v>1128</v>
      </c>
      <c r="I4089" t="s">
        <v>74</v>
      </c>
      <c r="J4089" t="s">
        <v>1129</v>
      </c>
      <c r="K4089" t="s">
        <v>20</v>
      </c>
      <c r="L4089" t="s">
        <v>2794</v>
      </c>
      <c r="M4089" s="3" t="str">
        <f>HYPERLINK("..\..\Imagery\ScannedPhotos\1991\VN91-103.1.jpg")</f>
        <v>..\..\Imagery\ScannedPhotos\1991\VN91-103.1.jpg</v>
      </c>
    </row>
    <row r="4090" spans="1:13" x14ac:dyDescent="0.25">
      <c r="A4090" t="s">
        <v>970</v>
      </c>
      <c r="B4090">
        <v>442431</v>
      </c>
      <c r="C4090">
        <v>5995299</v>
      </c>
      <c r="D4090">
        <v>21</v>
      </c>
      <c r="E4090" t="s">
        <v>15</v>
      </c>
      <c r="F4090" t="s">
        <v>9714</v>
      </c>
      <c r="G4090">
        <v>13</v>
      </c>
      <c r="H4090" t="s">
        <v>972</v>
      </c>
      <c r="I4090" t="s">
        <v>281</v>
      </c>
      <c r="J4090" t="s">
        <v>807</v>
      </c>
      <c r="K4090" t="s">
        <v>20</v>
      </c>
      <c r="L4090" t="s">
        <v>973</v>
      </c>
      <c r="M4090" s="3" t="str">
        <f>HYPERLINK("..\..\Imagery\ScannedPhotos\1980\RG80-133.3.jpg")</f>
        <v>..\..\Imagery\ScannedPhotos\1980\RG80-133.3.jpg</v>
      </c>
    </row>
    <row r="4091" spans="1:13" x14ac:dyDescent="0.25">
      <c r="A4091" t="s">
        <v>970</v>
      </c>
      <c r="B4091">
        <v>442431</v>
      </c>
      <c r="C4091">
        <v>5995299</v>
      </c>
      <c r="D4091">
        <v>21</v>
      </c>
      <c r="E4091" t="s">
        <v>15</v>
      </c>
      <c r="F4091" t="s">
        <v>9715</v>
      </c>
      <c r="G4091">
        <v>13</v>
      </c>
      <c r="H4091" t="s">
        <v>972</v>
      </c>
      <c r="I4091" t="s">
        <v>74</v>
      </c>
      <c r="J4091" t="s">
        <v>807</v>
      </c>
      <c r="K4091" t="s">
        <v>20</v>
      </c>
      <c r="L4091" t="s">
        <v>973</v>
      </c>
      <c r="M4091" s="3" t="str">
        <f>HYPERLINK("..\..\Imagery\ScannedPhotos\1980\RG80-133.9.jpg")</f>
        <v>..\..\Imagery\ScannedPhotos\1980\RG80-133.9.jpg</v>
      </c>
    </row>
    <row r="4092" spans="1:13" x14ac:dyDescent="0.25">
      <c r="A4092" t="s">
        <v>9716</v>
      </c>
      <c r="B4092">
        <v>554530</v>
      </c>
      <c r="C4092">
        <v>5814236</v>
      </c>
      <c r="D4092">
        <v>21</v>
      </c>
      <c r="E4092" t="s">
        <v>15</v>
      </c>
      <c r="F4092" t="s">
        <v>9717</v>
      </c>
      <c r="G4092">
        <v>1</v>
      </c>
      <c r="K4092" t="s">
        <v>56</v>
      </c>
      <c r="L4092" t="s">
        <v>9718</v>
      </c>
      <c r="M4092" s="3" t="str">
        <f>HYPERLINK("..\..\Imagery\ScannedPhotos\2003\CG03-203.jpg")</f>
        <v>..\..\Imagery\ScannedPhotos\2003\CG03-203.jpg</v>
      </c>
    </row>
    <row r="4093" spans="1:13" x14ac:dyDescent="0.25">
      <c r="A4093" t="s">
        <v>9719</v>
      </c>
      <c r="B4093">
        <v>554595</v>
      </c>
      <c r="C4093">
        <v>5815859</v>
      </c>
      <c r="D4093">
        <v>21</v>
      </c>
      <c r="E4093" t="s">
        <v>15</v>
      </c>
      <c r="F4093" t="s">
        <v>9720</v>
      </c>
      <c r="G4093">
        <v>1</v>
      </c>
      <c r="K4093" t="s">
        <v>56</v>
      </c>
      <c r="L4093" t="s">
        <v>9721</v>
      </c>
      <c r="M4093" s="3" t="str">
        <f>HYPERLINK("..\..\Imagery\ScannedPhotos\2003\CG03-207.jpg")</f>
        <v>..\..\Imagery\ScannedPhotos\2003\CG03-207.jpg</v>
      </c>
    </row>
    <row r="4094" spans="1:13" x14ac:dyDescent="0.25">
      <c r="A4094" t="s">
        <v>7254</v>
      </c>
      <c r="B4094">
        <v>553818</v>
      </c>
      <c r="C4094">
        <v>5816841</v>
      </c>
      <c r="D4094">
        <v>21</v>
      </c>
      <c r="E4094" t="s">
        <v>15</v>
      </c>
      <c r="F4094" t="s">
        <v>9722</v>
      </c>
      <c r="G4094">
        <v>3</v>
      </c>
      <c r="K4094" t="s">
        <v>20</v>
      </c>
      <c r="L4094" t="s">
        <v>1530</v>
      </c>
      <c r="M4094" s="3" t="str">
        <f>HYPERLINK("..\..\Imagery\ScannedPhotos\2003\CG03-208.3.jpg")</f>
        <v>..\..\Imagery\ScannedPhotos\2003\CG03-208.3.jpg</v>
      </c>
    </row>
    <row r="4095" spans="1:13" x14ac:dyDescent="0.25">
      <c r="A4095" t="s">
        <v>7254</v>
      </c>
      <c r="B4095">
        <v>553818</v>
      </c>
      <c r="C4095">
        <v>5816841</v>
      </c>
      <c r="D4095">
        <v>21</v>
      </c>
      <c r="E4095" t="s">
        <v>15</v>
      </c>
      <c r="F4095" t="s">
        <v>9723</v>
      </c>
      <c r="G4095">
        <v>3</v>
      </c>
      <c r="K4095" t="s">
        <v>56</v>
      </c>
      <c r="L4095" t="s">
        <v>9724</v>
      </c>
      <c r="M4095" s="3" t="str">
        <f>HYPERLINK("..\..\Imagery\ScannedPhotos\2003\CG03-208.1.jpg")</f>
        <v>..\..\Imagery\ScannedPhotos\2003\CG03-208.1.jpg</v>
      </c>
    </row>
    <row r="4096" spans="1:13" x14ac:dyDescent="0.25">
      <c r="A4096" t="s">
        <v>9725</v>
      </c>
      <c r="B4096">
        <v>596599</v>
      </c>
      <c r="C4096">
        <v>5792096</v>
      </c>
      <c r="D4096">
        <v>21</v>
      </c>
      <c r="E4096" t="s">
        <v>15</v>
      </c>
      <c r="F4096" t="s">
        <v>9726</v>
      </c>
      <c r="G4096">
        <v>3</v>
      </c>
      <c r="K4096" t="s">
        <v>56</v>
      </c>
      <c r="L4096" t="s">
        <v>9727</v>
      </c>
      <c r="M4096" s="3" t="str">
        <f>HYPERLINK("..\..\Imagery\ScannedPhotos\2007\CG07-162.2.jpg")</f>
        <v>..\..\Imagery\ScannedPhotos\2007\CG07-162.2.jpg</v>
      </c>
    </row>
    <row r="4097" spans="1:13" x14ac:dyDescent="0.25">
      <c r="A4097" t="s">
        <v>9725</v>
      </c>
      <c r="B4097">
        <v>596599</v>
      </c>
      <c r="C4097">
        <v>5792096</v>
      </c>
      <c r="D4097">
        <v>21</v>
      </c>
      <c r="E4097" t="s">
        <v>15</v>
      </c>
      <c r="F4097" t="s">
        <v>9728</v>
      </c>
      <c r="G4097">
        <v>3</v>
      </c>
      <c r="K4097" t="s">
        <v>56</v>
      </c>
      <c r="L4097" t="s">
        <v>9727</v>
      </c>
      <c r="M4097" s="3" t="str">
        <f>HYPERLINK("..\..\Imagery\ScannedPhotos\2007\CG07-162.3.jpg")</f>
        <v>..\..\Imagery\ScannedPhotos\2007\CG07-162.3.jpg</v>
      </c>
    </row>
    <row r="4098" spans="1:13" x14ac:dyDescent="0.25">
      <c r="A4098" t="s">
        <v>9729</v>
      </c>
      <c r="B4098">
        <v>446849</v>
      </c>
      <c r="C4098">
        <v>5772024</v>
      </c>
      <c r="D4098">
        <v>21</v>
      </c>
      <c r="E4098" t="s">
        <v>15</v>
      </c>
      <c r="F4098" t="s">
        <v>9730</v>
      </c>
      <c r="G4098">
        <v>1</v>
      </c>
      <c r="H4098" t="s">
        <v>4076</v>
      </c>
      <c r="I4098" t="s">
        <v>108</v>
      </c>
      <c r="J4098" t="s">
        <v>905</v>
      </c>
      <c r="K4098" t="s">
        <v>20</v>
      </c>
      <c r="L4098" t="s">
        <v>9731</v>
      </c>
      <c r="M4098" s="3" t="str">
        <f>HYPERLINK("..\..\Imagery\ScannedPhotos\1992\VN92-195.jpg")</f>
        <v>..\..\Imagery\ScannedPhotos\1992\VN92-195.jpg</v>
      </c>
    </row>
    <row r="4099" spans="1:13" x14ac:dyDescent="0.25">
      <c r="A4099" t="s">
        <v>4074</v>
      </c>
      <c r="B4099">
        <v>445850</v>
      </c>
      <c r="C4099">
        <v>5771550</v>
      </c>
      <c r="D4099">
        <v>21</v>
      </c>
      <c r="E4099" t="s">
        <v>15</v>
      </c>
      <c r="F4099" t="s">
        <v>9732</v>
      </c>
      <c r="G4099">
        <v>15</v>
      </c>
      <c r="H4099" t="s">
        <v>746</v>
      </c>
      <c r="I4099" t="s">
        <v>217</v>
      </c>
      <c r="J4099" t="s">
        <v>905</v>
      </c>
      <c r="K4099" t="s">
        <v>56</v>
      </c>
      <c r="L4099" t="s">
        <v>9733</v>
      </c>
      <c r="M4099" s="3" t="str">
        <f>HYPERLINK("..\..\Imagery\ScannedPhotos\1992\VN92-197.5.jpg")</f>
        <v>..\..\Imagery\ScannedPhotos\1992\VN92-197.5.jpg</v>
      </c>
    </row>
    <row r="4100" spans="1:13" x14ac:dyDescent="0.25">
      <c r="A4100" t="s">
        <v>4074</v>
      </c>
      <c r="B4100">
        <v>445850</v>
      </c>
      <c r="C4100">
        <v>5771550</v>
      </c>
      <c r="D4100">
        <v>21</v>
      </c>
      <c r="E4100" t="s">
        <v>15</v>
      </c>
      <c r="F4100" t="s">
        <v>9734</v>
      </c>
      <c r="G4100">
        <v>15</v>
      </c>
      <c r="H4100" t="s">
        <v>746</v>
      </c>
      <c r="I4100" t="s">
        <v>214</v>
      </c>
      <c r="J4100" t="s">
        <v>747</v>
      </c>
      <c r="K4100" t="s">
        <v>20</v>
      </c>
      <c r="L4100" t="s">
        <v>9735</v>
      </c>
      <c r="M4100" s="3" t="str">
        <f>HYPERLINK("..\..\Imagery\ScannedPhotos\1992\VN92-197.6.jpg")</f>
        <v>..\..\Imagery\ScannedPhotos\1992\VN92-197.6.jpg</v>
      </c>
    </row>
    <row r="4101" spans="1:13" x14ac:dyDescent="0.25">
      <c r="A4101" t="s">
        <v>4074</v>
      </c>
      <c r="B4101">
        <v>445850</v>
      </c>
      <c r="C4101">
        <v>5771550</v>
      </c>
      <c r="D4101">
        <v>21</v>
      </c>
      <c r="E4101" t="s">
        <v>15</v>
      </c>
      <c r="F4101" t="s">
        <v>9736</v>
      </c>
      <c r="G4101">
        <v>15</v>
      </c>
      <c r="H4101" t="s">
        <v>746</v>
      </c>
      <c r="I4101" t="s">
        <v>94</v>
      </c>
      <c r="J4101" t="s">
        <v>747</v>
      </c>
      <c r="K4101" t="s">
        <v>20</v>
      </c>
      <c r="L4101" t="s">
        <v>9737</v>
      </c>
      <c r="M4101" s="3" t="str">
        <f>HYPERLINK("..\..\Imagery\ScannedPhotos\1992\VN92-197.2.jpg")</f>
        <v>..\..\Imagery\ScannedPhotos\1992\VN92-197.2.jpg</v>
      </c>
    </row>
    <row r="4102" spans="1:13" x14ac:dyDescent="0.25">
      <c r="A4102" t="s">
        <v>9738</v>
      </c>
      <c r="B4102">
        <v>330070</v>
      </c>
      <c r="C4102">
        <v>5989208</v>
      </c>
      <c r="D4102">
        <v>21</v>
      </c>
      <c r="E4102" t="s">
        <v>15</v>
      </c>
      <c r="F4102" t="s">
        <v>9739</v>
      </c>
      <c r="G4102">
        <v>4</v>
      </c>
      <c r="H4102" t="s">
        <v>268</v>
      </c>
      <c r="I4102" t="s">
        <v>209</v>
      </c>
      <c r="J4102" t="s">
        <v>269</v>
      </c>
      <c r="K4102" t="s">
        <v>20</v>
      </c>
      <c r="L4102" t="s">
        <v>1020</v>
      </c>
      <c r="M4102" s="3" t="str">
        <f>HYPERLINK("..\..\Imagery\ScannedPhotos\1983\CG83-450.2.jpg")</f>
        <v>..\..\Imagery\ScannedPhotos\1983\CG83-450.2.jpg</v>
      </c>
    </row>
    <row r="4103" spans="1:13" x14ac:dyDescent="0.25">
      <c r="A4103" t="s">
        <v>9740</v>
      </c>
      <c r="B4103">
        <v>348549</v>
      </c>
      <c r="C4103">
        <v>5778559</v>
      </c>
      <c r="D4103">
        <v>21</v>
      </c>
      <c r="E4103" t="s">
        <v>15</v>
      </c>
      <c r="F4103" t="s">
        <v>9741</v>
      </c>
      <c r="G4103">
        <v>6</v>
      </c>
      <c r="H4103" t="s">
        <v>3404</v>
      </c>
      <c r="I4103" t="s">
        <v>30</v>
      </c>
      <c r="J4103" t="s">
        <v>80</v>
      </c>
      <c r="K4103" t="s">
        <v>20</v>
      </c>
      <c r="L4103" t="s">
        <v>9742</v>
      </c>
      <c r="M4103" s="3" t="str">
        <f>HYPERLINK("..\..\Imagery\ScannedPhotos\2000\CG00-221.6.jpg")</f>
        <v>..\..\Imagery\ScannedPhotos\2000\CG00-221.6.jpg</v>
      </c>
    </row>
    <row r="4104" spans="1:13" x14ac:dyDescent="0.25">
      <c r="A4104" t="s">
        <v>9743</v>
      </c>
      <c r="B4104">
        <v>351525</v>
      </c>
      <c r="C4104">
        <v>5764562</v>
      </c>
      <c r="D4104">
        <v>21</v>
      </c>
      <c r="E4104" t="s">
        <v>15</v>
      </c>
      <c r="F4104" t="s">
        <v>9744</v>
      </c>
      <c r="G4104">
        <v>1</v>
      </c>
      <c r="H4104" t="s">
        <v>2236</v>
      </c>
      <c r="I4104" t="s">
        <v>18</v>
      </c>
      <c r="J4104" t="s">
        <v>80</v>
      </c>
      <c r="K4104" t="s">
        <v>20</v>
      </c>
      <c r="L4104" t="s">
        <v>9745</v>
      </c>
      <c r="M4104" s="3" t="str">
        <f>HYPERLINK("..\..\Imagery\ScannedPhotos\2000\CG00-224.jpg")</f>
        <v>..\..\Imagery\ScannedPhotos\2000\CG00-224.jpg</v>
      </c>
    </row>
    <row r="4105" spans="1:13" x14ac:dyDescent="0.25">
      <c r="A4105" t="s">
        <v>9746</v>
      </c>
      <c r="B4105">
        <v>538600</v>
      </c>
      <c r="C4105">
        <v>5824020</v>
      </c>
      <c r="D4105">
        <v>21</v>
      </c>
      <c r="E4105" t="s">
        <v>15</v>
      </c>
      <c r="F4105" t="s">
        <v>9747</v>
      </c>
      <c r="G4105">
        <v>1</v>
      </c>
      <c r="H4105" t="s">
        <v>1212</v>
      </c>
      <c r="I4105" t="s">
        <v>94</v>
      </c>
      <c r="J4105" t="s">
        <v>100</v>
      </c>
      <c r="K4105" t="s">
        <v>20</v>
      </c>
      <c r="L4105" t="s">
        <v>9748</v>
      </c>
      <c r="M4105" s="3" t="str">
        <f>HYPERLINK("..\..\Imagery\ScannedPhotos\1986\JS86-027.jpg")</f>
        <v>..\..\Imagery\ScannedPhotos\1986\JS86-027.jpg</v>
      </c>
    </row>
    <row r="4106" spans="1:13" x14ac:dyDescent="0.25">
      <c r="A4106" t="s">
        <v>9749</v>
      </c>
      <c r="B4106">
        <v>538417</v>
      </c>
      <c r="C4106">
        <v>5823785</v>
      </c>
      <c r="D4106">
        <v>21</v>
      </c>
      <c r="E4106" t="s">
        <v>15</v>
      </c>
      <c r="F4106" t="s">
        <v>9750</v>
      </c>
      <c r="G4106">
        <v>1</v>
      </c>
      <c r="H4106" t="s">
        <v>1212</v>
      </c>
      <c r="I4106" t="s">
        <v>209</v>
      </c>
      <c r="J4106" t="s">
        <v>100</v>
      </c>
      <c r="K4106" t="s">
        <v>56</v>
      </c>
      <c r="L4106" t="s">
        <v>9751</v>
      </c>
      <c r="M4106" s="3" t="str">
        <f>HYPERLINK("..\..\Imagery\ScannedPhotos\1986\JS86-028.jpg")</f>
        <v>..\..\Imagery\ScannedPhotos\1986\JS86-028.jpg</v>
      </c>
    </row>
    <row r="4107" spans="1:13" x14ac:dyDescent="0.25">
      <c r="A4107" t="s">
        <v>7304</v>
      </c>
      <c r="B4107">
        <v>537557</v>
      </c>
      <c r="C4107">
        <v>5822887</v>
      </c>
      <c r="D4107">
        <v>21</v>
      </c>
      <c r="E4107" t="s">
        <v>15</v>
      </c>
      <c r="F4107" t="s">
        <v>9752</v>
      </c>
      <c r="G4107">
        <v>2</v>
      </c>
      <c r="H4107" t="s">
        <v>1212</v>
      </c>
      <c r="I4107" t="s">
        <v>386</v>
      </c>
      <c r="J4107" t="s">
        <v>100</v>
      </c>
      <c r="K4107" t="s">
        <v>20</v>
      </c>
      <c r="L4107" t="s">
        <v>7306</v>
      </c>
      <c r="M4107" s="3" t="str">
        <f>HYPERLINK("..\..\Imagery\ScannedPhotos\1986\JS86-031.1.jpg")</f>
        <v>..\..\Imagery\ScannedPhotos\1986\JS86-031.1.jpg</v>
      </c>
    </row>
    <row r="4108" spans="1:13" x14ac:dyDescent="0.25">
      <c r="A4108" t="s">
        <v>9753</v>
      </c>
      <c r="B4108">
        <v>435875</v>
      </c>
      <c r="C4108">
        <v>5792910</v>
      </c>
      <c r="D4108">
        <v>21</v>
      </c>
      <c r="E4108" t="s">
        <v>15</v>
      </c>
      <c r="F4108" t="s">
        <v>9754</v>
      </c>
      <c r="G4108">
        <v>3</v>
      </c>
      <c r="H4108" t="s">
        <v>9755</v>
      </c>
      <c r="I4108" t="s">
        <v>281</v>
      </c>
      <c r="J4108" t="s">
        <v>9756</v>
      </c>
      <c r="K4108" t="s">
        <v>56</v>
      </c>
      <c r="L4108" t="s">
        <v>9757</v>
      </c>
      <c r="M4108" s="3" t="str">
        <f>HYPERLINK("..\..\Imagery\ScannedPhotos\1992\HP92-130.1.jpg")</f>
        <v>..\..\Imagery\ScannedPhotos\1992\HP92-130.1.jpg</v>
      </c>
    </row>
    <row r="4109" spans="1:13" x14ac:dyDescent="0.25">
      <c r="A4109" t="s">
        <v>9758</v>
      </c>
      <c r="B4109">
        <v>441266</v>
      </c>
      <c r="C4109">
        <v>5774512</v>
      </c>
      <c r="D4109">
        <v>21</v>
      </c>
      <c r="E4109" t="s">
        <v>15</v>
      </c>
      <c r="F4109" t="s">
        <v>9759</v>
      </c>
      <c r="G4109">
        <v>3</v>
      </c>
      <c r="H4109" t="s">
        <v>9755</v>
      </c>
      <c r="I4109" t="s">
        <v>74</v>
      </c>
      <c r="J4109" t="s">
        <v>9756</v>
      </c>
      <c r="K4109" t="s">
        <v>56</v>
      </c>
      <c r="L4109" t="s">
        <v>9760</v>
      </c>
      <c r="M4109" s="3" t="str">
        <f>HYPERLINK("..\..\Imagery\ScannedPhotos\1992\HP92-140.2.jpg")</f>
        <v>..\..\Imagery\ScannedPhotos\1992\HP92-140.2.jpg</v>
      </c>
    </row>
    <row r="4110" spans="1:13" x14ac:dyDescent="0.25">
      <c r="A4110" t="s">
        <v>9761</v>
      </c>
      <c r="B4110">
        <v>310596</v>
      </c>
      <c r="C4110">
        <v>5861010</v>
      </c>
      <c r="D4110">
        <v>21</v>
      </c>
      <c r="E4110" t="s">
        <v>15</v>
      </c>
      <c r="F4110" t="s">
        <v>9762</v>
      </c>
      <c r="G4110">
        <v>1</v>
      </c>
      <c r="H4110" t="s">
        <v>259</v>
      </c>
      <c r="I4110" t="s">
        <v>147</v>
      </c>
      <c r="J4110" t="s">
        <v>260</v>
      </c>
      <c r="K4110" t="s">
        <v>56</v>
      </c>
      <c r="L4110" t="s">
        <v>9763</v>
      </c>
      <c r="M4110" s="3" t="str">
        <f>HYPERLINK("..\..\Imagery\ScannedPhotos\1998\CG98-145.jpg")</f>
        <v>..\..\Imagery\ScannedPhotos\1998\CG98-145.jpg</v>
      </c>
    </row>
    <row r="4111" spans="1:13" x14ac:dyDescent="0.25">
      <c r="A4111" t="s">
        <v>9764</v>
      </c>
      <c r="B4111">
        <v>311890</v>
      </c>
      <c r="C4111">
        <v>5860193</v>
      </c>
      <c r="D4111">
        <v>21</v>
      </c>
      <c r="E4111" t="s">
        <v>15</v>
      </c>
      <c r="F4111" t="s">
        <v>9765</v>
      </c>
      <c r="G4111">
        <v>1</v>
      </c>
      <c r="H4111" t="s">
        <v>259</v>
      </c>
      <c r="I4111" t="s">
        <v>47</v>
      </c>
      <c r="J4111" t="s">
        <v>260</v>
      </c>
      <c r="K4111" t="s">
        <v>56</v>
      </c>
      <c r="L4111" t="s">
        <v>43</v>
      </c>
      <c r="M4111" s="3" t="str">
        <f>HYPERLINK("..\..\Imagery\ScannedPhotos\1998\CG98-146.jpg")</f>
        <v>..\..\Imagery\ScannedPhotos\1998\CG98-146.jpg</v>
      </c>
    </row>
    <row r="4112" spans="1:13" x14ac:dyDescent="0.25">
      <c r="A4112" t="s">
        <v>9766</v>
      </c>
      <c r="B4112">
        <v>446875</v>
      </c>
      <c r="C4112">
        <v>5811350</v>
      </c>
      <c r="D4112">
        <v>21</v>
      </c>
      <c r="E4112" t="s">
        <v>15</v>
      </c>
      <c r="F4112" t="s">
        <v>9767</v>
      </c>
      <c r="G4112">
        <v>1</v>
      </c>
      <c r="H4112" t="s">
        <v>5587</v>
      </c>
      <c r="I4112" t="s">
        <v>129</v>
      </c>
      <c r="J4112" t="s">
        <v>2341</v>
      </c>
      <c r="K4112" t="s">
        <v>56</v>
      </c>
      <c r="L4112" t="s">
        <v>6251</v>
      </c>
      <c r="M4112" s="3" t="str">
        <f>HYPERLINK("..\..\Imagery\ScannedPhotos\1992\VN92-123.jpg")</f>
        <v>..\..\Imagery\ScannedPhotos\1992\VN92-123.jpg</v>
      </c>
    </row>
    <row r="4113" spans="1:13" x14ac:dyDescent="0.25">
      <c r="A4113" t="s">
        <v>9768</v>
      </c>
      <c r="B4113">
        <v>441225</v>
      </c>
      <c r="C4113">
        <v>5785825</v>
      </c>
      <c r="D4113">
        <v>21</v>
      </c>
      <c r="E4113" t="s">
        <v>15</v>
      </c>
      <c r="F4113" t="s">
        <v>9769</v>
      </c>
      <c r="G4113">
        <v>1</v>
      </c>
      <c r="H4113" t="s">
        <v>5587</v>
      </c>
      <c r="I4113" t="s">
        <v>147</v>
      </c>
      <c r="J4113" t="s">
        <v>2341</v>
      </c>
      <c r="K4113" t="s">
        <v>56</v>
      </c>
      <c r="L4113" t="s">
        <v>1901</v>
      </c>
      <c r="M4113" s="3" t="str">
        <f>HYPERLINK("..\..\Imagery\ScannedPhotos\1992\VN92-127.jpg")</f>
        <v>..\..\Imagery\ScannedPhotos\1992\VN92-127.jpg</v>
      </c>
    </row>
    <row r="4114" spans="1:13" x14ac:dyDescent="0.25">
      <c r="A4114" t="s">
        <v>9770</v>
      </c>
      <c r="B4114">
        <v>441179</v>
      </c>
      <c r="C4114">
        <v>5788829</v>
      </c>
      <c r="D4114">
        <v>21</v>
      </c>
      <c r="E4114" t="s">
        <v>15</v>
      </c>
      <c r="F4114" t="s">
        <v>9771</v>
      </c>
      <c r="G4114">
        <v>1</v>
      </c>
      <c r="H4114" t="s">
        <v>5587</v>
      </c>
      <c r="I4114" t="s">
        <v>47</v>
      </c>
      <c r="J4114" t="s">
        <v>2341</v>
      </c>
      <c r="K4114" t="s">
        <v>56</v>
      </c>
      <c r="L4114" t="s">
        <v>1668</v>
      </c>
      <c r="M4114" s="3" t="str">
        <f>HYPERLINK("..\..\Imagery\ScannedPhotos\1992\VN92-130.jpg")</f>
        <v>..\..\Imagery\ScannedPhotos\1992\VN92-130.jpg</v>
      </c>
    </row>
    <row r="4115" spans="1:13" x14ac:dyDescent="0.25">
      <c r="A4115" t="s">
        <v>9772</v>
      </c>
      <c r="B4115">
        <v>440772</v>
      </c>
      <c r="C4115">
        <v>5792219</v>
      </c>
      <c r="D4115">
        <v>21</v>
      </c>
      <c r="E4115" t="s">
        <v>15</v>
      </c>
      <c r="F4115" t="s">
        <v>9773</v>
      </c>
      <c r="G4115">
        <v>1</v>
      </c>
      <c r="H4115" t="s">
        <v>5587</v>
      </c>
      <c r="I4115" t="s">
        <v>52</v>
      </c>
      <c r="J4115" t="s">
        <v>2341</v>
      </c>
      <c r="K4115" t="s">
        <v>56</v>
      </c>
      <c r="L4115" t="s">
        <v>1668</v>
      </c>
      <c r="M4115" s="3" t="str">
        <f>HYPERLINK("..\..\Imagery\ScannedPhotos\1992\VN92-132.jpg")</f>
        <v>..\..\Imagery\ScannedPhotos\1992\VN92-132.jpg</v>
      </c>
    </row>
    <row r="4116" spans="1:13" x14ac:dyDescent="0.25">
      <c r="A4116" t="s">
        <v>9774</v>
      </c>
      <c r="B4116">
        <v>539363</v>
      </c>
      <c r="C4116">
        <v>5813169</v>
      </c>
      <c r="D4116">
        <v>21</v>
      </c>
      <c r="E4116" t="s">
        <v>15</v>
      </c>
      <c r="F4116" t="s">
        <v>9775</v>
      </c>
      <c r="G4116">
        <v>1</v>
      </c>
      <c r="H4116" t="s">
        <v>796</v>
      </c>
      <c r="I4116" t="s">
        <v>137</v>
      </c>
      <c r="J4116" t="s">
        <v>797</v>
      </c>
      <c r="K4116" t="s">
        <v>20</v>
      </c>
      <c r="L4116" t="s">
        <v>7946</v>
      </c>
      <c r="M4116" s="3" t="str">
        <f>HYPERLINK("..\..\Imagery\ScannedPhotos\1987\JS87-036.jpg")</f>
        <v>..\..\Imagery\ScannedPhotos\1987\JS87-036.jpg</v>
      </c>
    </row>
    <row r="4117" spans="1:13" x14ac:dyDescent="0.25">
      <c r="A4117" t="s">
        <v>32</v>
      </c>
      <c r="B4117">
        <v>596446</v>
      </c>
      <c r="C4117">
        <v>5792950</v>
      </c>
      <c r="D4117">
        <v>21</v>
      </c>
      <c r="E4117" t="s">
        <v>15</v>
      </c>
      <c r="F4117" t="s">
        <v>9776</v>
      </c>
      <c r="G4117">
        <v>40</v>
      </c>
      <c r="K4117" t="s">
        <v>228</v>
      </c>
      <c r="L4117" t="s">
        <v>9777</v>
      </c>
      <c r="M4117" s="3" t="str">
        <f>HYPERLINK("..\..\Imagery\ScannedPhotos\1987\CG87-488.30.jpg")</f>
        <v>..\..\Imagery\ScannedPhotos\1987\CG87-488.30.jpg</v>
      </c>
    </row>
    <row r="4118" spans="1:13" x14ac:dyDescent="0.25">
      <c r="A4118" t="s">
        <v>32</v>
      </c>
      <c r="B4118">
        <v>596446</v>
      </c>
      <c r="C4118">
        <v>5792950</v>
      </c>
      <c r="D4118">
        <v>21</v>
      </c>
      <c r="E4118" t="s">
        <v>15</v>
      </c>
      <c r="F4118" t="s">
        <v>9778</v>
      </c>
      <c r="G4118">
        <v>40</v>
      </c>
      <c r="K4118" t="s">
        <v>228</v>
      </c>
      <c r="L4118" t="s">
        <v>9779</v>
      </c>
      <c r="M4118" s="3" t="str">
        <f>HYPERLINK("..\..\Imagery\ScannedPhotos\1987\CG87-488.32.jpg")</f>
        <v>..\..\Imagery\ScannedPhotos\1987\CG87-488.32.jpg</v>
      </c>
    </row>
    <row r="4119" spans="1:13" x14ac:dyDescent="0.25">
      <c r="A4119" t="s">
        <v>32</v>
      </c>
      <c r="B4119">
        <v>596446</v>
      </c>
      <c r="C4119">
        <v>5792950</v>
      </c>
      <c r="D4119">
        <v>21</v>
      </c>
      <c r="E4119" t="s">
        <v>15</v>
      </c>
      <c r="F4119" t="s">
        <v>9780</v>
      </c>
      <c r="G4119">
        <v>40</v>
      </c>
      <c r="K4119" t="s">
        <v>228</v>
      </c>
      <c r="L4119" t="s">
        <v>9781</v>
      </c>
      <c r="M4119" s="3" t="str">
        <f>HYPERLINK("..\..\Imagery\ScannedPhotos\1987\CG87-488.33.jpg")</f>
        <v>..\..\Imagery\ScannedPhotos\1987\CG87-488.33.jpg</v>
      </c>
    </row>
    <row r="4120" spans="1:13" x14ac:dyDescent="0.25">
      <c r="A4120" t="s">
        <v>32</v>
      </c>
      <c r="B4120">
        <v>596446</v>
      </c>
      <c r="C4120">
        <v>5792950</v>
      </c>
      <c r="D4120">
        <v>21</v>
      </c>
      <c r="E4120" t="s">
        <v>15</v>
      </c>
      <c r="F4120" t="s">
        <v>9782</v>
      </c>
      <c r="G4120">
        <v>40</v>
      </c>
      <c r="K4120" t="s">
        <v>228</v>
      </c>
      <c r="L4120" t="s">
        <v>9783</v>
      </c>
      <c r="M4120" s="3" t="str">
        <f>HYPERLINK("..\..\Imagery\ScannedPhotos\1987\CG87-488.34.jpg")</f>
        <v>..\..\Imagery\ScannedPhotos\1987\CG87-488.34.jpg</v>
      </c>
    </row>
    <row r="4121" spans="1:13" x14ac:dyDescent="0.25">
      <c r="A4121" t="s">
        <v>32</v>
      </c>
      <c r="B4121">
        <v>596446</v>
      </c>
      <c r="C4121">
        <v>5792950</v>
      </c>
      <c r="D4121">
        <v>21</v>
      </c>
      <c r="E4121" t="s">
        <v>15</v>
      </c>
      <c r="F4121" t="s">
        <v>9784</v>
      </c>
      <c r="G4121">
        <v>40</v>
      </c>
      <c r="K4121" t="s">
        <v>228</v>
      </c>
      <c r="L4121" t="s">
        <v>9785</v>
      </c>
      <c r="M4121" s="3" t="str">
        <f>HYPERLINK("..\..\Imagery\ScannedPhotos\1987\CG87-488.35.jpg")</f>
        <v>..\..\Imagery\ScannedPhotos\1987\CG87-488.35.jpg</v>
      </c>
    </row>
    <row r="4122" spans="1:13" x14ac:dyDescent="0.25">
      <c r="A4122" t="s">
        <v>32</v>
      </c>
      <c r="B4122">
        <v>596446</v>
      </c>
      <c r="C4122">
        <v>5792950</v>
      </c>
      <c r="D4122">
        <v>21</v>
      </c>
      <c r="E4122" t="s">
        <v>15</v>
      </c>
      <c r="F4122" t="s">
        <v>9786</v>
      </c>
      <c r="G4122">
        <v>40</v>
      </c>
      <c r="K4122" t="s">
        <v>228</v>
      </c>
      <c r="L4122" t="s">
        <v>9787</v>
      </c>
      <c r="M4122" s="3" t="str">
        <f>HYPERLINK("..\..\Imagery\ScannedPhotos\1987\CG87-488.36.jpg")</f>
        <v>..\..\Imagery\ScannedPhotos\1987\CG87-488.36.jpg</v>
      </c>
    </row>
    <row r="4123" spans="1:13" x14ac:dyDescent="0.25">
      <c r="A4123" t="s">
        <v>804</v>
      </c>
      <c r="B4123">
        <v>410741</v>
      </c>
      <c r="C4123">
        <v>5985773</v>
      </c>
      <c r="D4123">
        <v>21</v>
      </c>
      <c r="E4123" t="s">
        <v>15</v>
      </c>
      <c r="F4123" t="s">
        <v>9788</v>
      </c>
      <c r="G4123">
        <v>2</v>
      </c>
      <c r="H4123" t="s">
        <v>806</v>
      </c>
      <c r="I4123" t="s">
        <v>137</v>
      </c>
      <c r="J4123" t="s">
        <v>807</v>
      </c>
      <c r="K4123" t="s">
        <v>20</v>
      </c>
      <c r="L4123" t="s">
        <v>808</v>
      </c>
      <c r="M4123" s="3" t="str">
        <f>HYPERLINK("..\..\Imagery\ScannedPhotos\1980\CG80-425.2.jpg")</f>
        <v>..\..\Imagery\ScannedPhotos\1980\CG80-425.2.jpg</v>
      </c>
    </row>
    <row r="4124" spans="1:13" x14ac:dyDescent="0.25">
      <c r="A4124" t="s">
        <v>9789</v>
      </c>
      <c r="B4124">
        <v>376987</v>
      </c>
      <c r="C4124">
        <v>6032217</v>
      </c>
      <c r="D4124">
        <v>21</v>
      </c>
      <c r="E4124" t="s">
        <v>15</v>
      </c>
      <c r="F4124" t="s">
        <v>9790</v>
      </c>
      <c r="G4124">
        <v>1</v>
      </c>
      <c r="H4124" t="s">
        <v>1518</v>
      </c>
      <c r="I4124" t="s">
        <v>74</v>
      </c>
      <c r="J4124" t="s">
        <v>48</v>
      </c>
      <c r="K4124" t="s">
        <v>20</v>
      </c>
      <c r="L4124" t="s">
        <v>9791</v>
      </c>
      <c r="M4124" s="3" t="str">
        <f>HYPERLINK("..\..\Imagery\ScannedPhotos\1980\CG80-559.jpg")</f>
        <v>..\..\Imagery\ScannedPhotos\1980\CG80-559.jpg</v>
      </c>
    </row>
    <row r="4125" spans="1:13" x14ac:dyDescent="0.25">
      <c r="A4125" t="s">
        <v>5135</v>
      </c>
      <c r="B4125">
        <v>381949</v>
      </c>
      <c r="C4125">
        <v>5989748</v>
      </c>
      <c r="D4125">
        <v>21</v>
      </c>
      <c r="E4125" t="s">
        <v>15</v>
      </c>
      <c r="F4125" t="s">
        <v>9792</v>
      </c>
      <c r="G4125">
        <v>4</v>
      </c>
      <c r="H4125" t="s">
        <v>268</v>
      </c>
      <c r="I4125" t="s">
        <v>304</v>
      </c>
      <c r="J4125" t="s">
        <v>269</v>
      </c>
      <c r="K4125" t="s">
        <v>56</v>
      </c>
      <c r="L4125" t="s">
        <v>3995</v>
      </c>
      <c r="M4125" s="3" t="str">
        <f>HYPERLINK("..\..\Imagery\ScannedPhotos\1980\CG80-585.1.jpg")</f>
        <v>..\..\Imagery\ScannedPhotos\1980\CG80-585.1.jpg</v>
      </c>
    </row>
    <row r="4126" spans="1:13" x14ac:dyDescent="0.25">
      <c r="A4126" t="s">
        <v>9793</v>
      </c>
      <c r="B4126">
        <v>380694</v>
      </c>
      <c r="C4126">
        <v>6057390</v>
      </c>
      <c r="D4126">
        <v>21</v>
      </c>
      <c r="E4126" t="s">
        <v>15</v>
      </c>
      <c r="F4126" t="s">
        <v>9794</v>
      </c>
      <c r="G4126">
        <v>1</v>
      </c>
      <c r="H4126" t="s">
        <v>2011</v>
      </c>
      <c r="I4126" t="s">
        <v>119</v>
      </c>
      <c r="J4126" t="s">
        <v>1624</v>
      </c>
      <c r="K4126" t="s">
        <v>56</v>
      </c>
      <c r="L4126" t="s">
        <v>9795</v>
      </c>
      <c r="M4126" s="3" t="str">
        <f>HYPERLINK("..\..\Imagery\ScannedPhotos\1978\AL78-192.jpg")</f>
        <v>..\..\Imagery\ScannedPhotos\1978\AL78-192.jpg</v>
      </c>
    </row>
    <row r="4127" spans="1:13" x14ac:dyDescent="0.25">
      <c r="A4127" t="s">
        <v>9796</v>
      </c>
      <c r="B4127">
        <v>587579</v>
      </c>
      <c r="C4127">
        <v>5766326</v>
      </c>
      <c r="D4127">
        <v>21</v>
      </c>
      <c r="E4127" t="s">
        <v>15</v>
      </c>
      <c r="F4127" t="s">
        <v>9797</v>
      </c>
      <c r="G4127">
        <v>12</v>
      </c>
      <c r="H4127" t="s">
        <v>34</v>
      </c>
      <c r="I4127" t="s">
        <v>386</v>
      </c>
      <c r="J4127" t="s">
        <v>36</v>
      </c>
      <c r="K4127" t="s">
        <v>228</v>
      </c>
      <c r="L4127" t="s">
        <v>9798</v>
      </c>
      <c r="M4127" s="3" t="str">
        <f>HYPERLINK("..\..\Imagery\ScannedPhotos\1987\CG87-478.12.jpg")</f>
        <v>..\..\Imagery\ScannedPhotos\1987\CG87-478.12.jpg</v>
      </c>
    </row>
    <row r="4128" spans="1:13" x14ac:dyDescent="0.25">
      <c r="A4128" t="s">
        <v>9796</v>
      </c>
      <c r="B4128">
        <v>587579</v>
      </c>
      <c r="C4128">
        <v>5766326</v>
      </c>
      <c r="D4128">
        <v>21</v>
      </c>
      <c r="E4128" t="s">
        <v>15</v>
      </c>
      <c r="F4128" t="s">
        <v>9799</v>
      </c>
      <c r="G4128">
        <v>12</v>
      </c>
      <c r="H4128" t="s">
        <v>34</v>
      </c>
      <c r="I4128" t="s">
        <v>69</v>
      </c>
      <c r="J4128" t="s">
        <v>36</v>
      </c>
      <c r="K4128" t="s">
        <v>56</v>
      </c>
      <c r="L4128" t="s">
        <v>9800</v>
      </c>
      <c r="M4128" s="3" t="str">
        <f>HYPERLINK("..\..\Imagery\ScannedPhotos\1987\CG87-478.6.jpg")</f>
        <v>..\..\Imagery\ScannedPhotos\1987\CG87-478.6.jpg</v>
      </c>
    </row>
    <row r="4129" spans="1:13" x14ac:dyDescent="0.25">
      <c r="A4129" t="s">
        <v>9796</v>
      </c>
      <c r="B4129">
        <v>587579</v>
      </c>
      <c r="C4129">
        <v>5766326</v>
      </c>
      <c r="D4129">
        <v>21</v>
      </c>
      <c r="E4129" t="s">
        <v>15</v>
      </c>
      <c r="F4129" t="s">
        <v>9801</v>
      </c>
      <c r="G4129">
        <v>12</v>
      </c>
      <c r="H4129" t="s">
        <v>34</v>
      </c>
      <c r="I4129" t="s">
        <v>209</v>
      </c>
      <c r="J4129" t="s">
        <v>36</v>
      </c>
      <c r="K4129" t="s">
        <v>228</v>
      </c>
      <c r="L4129" t="s">
        <v>9798</v>
      </c>
      <c r="M4129" s="3" t="str">
        <f>HYPERLINK("..\..\Imagery\ScannedPhotos\1987\CG87-478.11.jpg")</f>
        <v>..\..\Imagery\ScannedPhotos\1987\CG87-478.11.jpg</v>
      </c>
    </row>
    <row r="4130" spans="1:13" x14ac:dyDescent="0.25">
      <c r="A4130" t="s">
        <v>9802</v>
      </c>
      <c r="B4130">
        <v>589304</v>
      </c>
      <c r="C4130">
        <v>5768983</v>
      </c>
      <c r="D4130">
        <v>21</v>
      </c>
      <c r="E4130" t="s">
        <v>15</v>
      </c>
      <c r="F4130" t="s">
        <v>9803</v>
      </c>
      <c r="G4130">
        <v>1</v>
      </c>
      <c r="H4130" t="s">
        <v>34</v>
      </c>
      <c r="I4130" t="s">
        <v>217</v>
      </c>
      <c r="J4130" t="s">
        <v>36</v>
      </c>
      <c r="K4130" t="s">
        <v>20</v>
      </c>
      <c r="L4130" t="s">
        <v>9804</v>
      </c>
      <c r="M4130" s="3" t="str">
        <f>HYPERLINK("..\..\Imagery\ScannedPhotos\1987\CG87-479.jpg")</f>
        <v>..\..\Imagery\ScannedPhotos\1987\CG87-479.jpg</v>
      </c>
    </row>
    <row r="4131" spans="1:13" x14ac:dyDescent="0.25">
      <c r="A4131" t="s">
        <v>9805</v>
      </c>
      <c r="B4131">
        <v>478843</v>
      </c>
      <c r="C4131">
        <v>5913051</v>
      </c>
      <c r="D4131">
        <v>21</v>
      </c>
      <c r="E4131" t="s">
        <v>15</v>
      </c>
      <c r="F4131" t="s">
        <v>9806</v>
      </c>
      <c r="G4131">
        <v>2</v>
      </c>
      <c r="H4131" t="s">
        <v>4058</v>
      </c>
      <c r="I4131" t="s">
        <v>647</v>
      </c>
      <c r="J4131" t="s">
        <v>2247</v>
      </c>
      <c r="K4131" t="s">
        <v>20</v>
      </c>
      <c r="L4131" t="s">
        <v>9807</v>
      </c>
      <c r="M4131" s="3" t="str">
        <f>HYPERLINK("..\..\Imagery\ScannedPhotos\1984\VN84-375.2.jpg")</f>
        <v>..\..\Imagery\ScannedPhotos\1984\VN84-375.2.jpg</v>
      </c>
    </row>
    <row r="4132" spans="1:13" x14ac:dyDescent="0.25">
      <c r="A4132" t="s">
        <v>9808</v>
      </c>
      <c r="B4132">
        <v>478225</v>
      </c>
      <c r="C4132">
        <v>5913349</v>
      </c>
      <c r="D4132">
        <v>21</v>
      </c>
      <c r="E4132" t="s">
        <v>15</v>
      </c>
      <c r="F4132" t="s">
        <v>9809</v>
      </c>
      <c r="G4132">
        <v>1</v>
      </c>
      <c r="H4132" t="s">
        <v>4058</v>
      </c>
      <c r="I4132" t="s">
        <v>30</v>
      </c>
      <c r="J4132" t="s">
        <v>2247</v>
      </c>
      <c r="K4132" t="s">
        <v>20</v>
      </c>
      <c r="L4132" t="s">
        <v>9810</v>
      </c>
      <c r="M4132" s="3" t="str">
        <f>HYPERLINK("..\..\Imagery\ScannedPhotos\1984\VN84-378.jpg")</f>
        <v>..\..\Imagery\ScannedPhotos\1984\VN84-378.jpg</v>
      </c>
    </row>
    <row r="4133" spans="1:13" x14ac:dyDescent="0.25">
      <c r="A4133" t="s">
        <v>9811</v>
      </c>
      <c r="B4133">
        <v>468272</v>
      </c>
      <c r="C4133">
        <v>5903962</v>
      </c>
      <c r="D4133">
        <v>21</v>
      </c>
      <c r="E4133" t="s">
        <v>15</v>
      </c>
      <c r="F4133" t="s">
        <v>9812</v>
      </c>
      <c r="G4133">
        <v>6</v>
      </c>
      <c r="H4133" t="s">
        <v>2995</v>
      </c>
      <c r="I4133" t="s">
        <v>132</v>
      </c>
      <c r="J4133" t="s">
        <v>156</v>
      </c>
      <c r="K4133" t="s">
        <v>56</v>
      </c>
      <c r="L4133" t="s">
        <v>9813</v>
      </c>
      <c r="M4133" s="3" t="str">
        <f>HYPERLINK("..\..\Imagery\ScannedPhotos\1984\VN84-431.5.jpg")</f>
        <v>..\..\Imagery\ScannedPhotos\1984\VN84-431.5.jpg</v>
      </c>
    </row>
    <row r="4134" spans="1:13" x14ac:dyDescent="0.25">
      <c r="A4134" t="s">
        <v>9811</v>
      </c>
      <c r="B4134">
        <v>468272</v>
      </c>
      <c r="C4134">
        <v>5903962</v>
      </c>
      <c r="D4134">
        <v>21</v>
      </c>
      <c r="E4134" t="s">
        <v>15</v>
      </c>
      <c r="F4134" t="s">
        <v>9814</v>
      </c>
      <c r="G4134">
        <v>6</v>
      </c>
      <c r="H4134" t="s">
        <v>2995</v>
      </c>
      <c r="I4134" t="s">
        <v>108</v>
      </c>
      <c r="J4134" t="s">
        <v>156</v>
      </c>
      <c r="K4134" t="s">
        <v>20</v>
      </c>
      <c r="L4134" t="s">
        <v>9813</v>
      </c>
      <c r="M4134" s="3" t="str">
        <f>HYPERLINK("..\..\Imagery\ScannedPhotos\1984\VN84-431.4.jpg")</f>
        <v>..\..\Imagery\ScannedPhotos\1984\VN84-431.4.jpg</v>
      </c>
    </row>
    <row r="4135" spans="1:13" x14ac:dyDescent="0.25">
      <c r="A4135" t="s">
        <v>9815</v>
      </c>
      <c r="B4135">
        <v>545118</v>
      </c>
      <c r="C4135">
        <v>5732685</v>
      </c>
      <c r="D4135">
        <v>21</v>
      </c>
      <c r="E4135" t="s">
        <v>15</v>
      </c>
      <c r="F4135" t="s">
        <v>9816</v>
      </c>
      <c r="G4135">
        <v>3</v>
      </c>
      <c r="H4135" t="s">
        <v>1338</v>
      </c>
      <c r="I4135" t="s">
        <v>122</v>
      </c>
      <c r="J4135" t="s">
        <v>570</v>
      </c>
      <c r="K4135" t="s">
        <v>20</v>
      </c>
      <c r="L4135" t="s">
        <v>9817</v>
      </c>
      <c r="M4135" s="3" t="str">
        <f>HYPERLINK("..\..\Imagery\ScannedPhotos\1993\VN93-215.3.jpg")</f>
        <v>..\..\Imagery\ScannedPhotos\1993\VN93-215.3.jpg</v>
      </c>
    </row>
    <row r="4136" spans="1:13" x14ac:dyDescent="0.25">
      <c r="A4136" t="s">
        <v>9818</v>
      </c>
      <c r="B4136">
        <v>545450</v>
      </c>
      <c r="C4136">
        <v>5732917</v>
      </c>
      <c r="D4136">
        <v>21</v>
      </c>
      <c r="E4136" t="s">
        <v>15</v>
      </c>
      <c r="F4136" t="s">
        <v>9819</v>
      </c>
      <c r="G4136">
        <v>1</v>
      </c>
      <c r="H4136" t="s">
        <v>1338</v>
      </c>
      <c r="I4136" t="s">
        <v>126</v>
      </c>
      <c r="J4136" t="s">
        <v>570</v>
      </c>
      <c r="K4136" t="s">
        <v>20</v>
      </c>
      <c r="L4136" t="s">
        <v>4086</v>
      </c>
      <c r="M4136" s="3" t="str">
        <f>HYPERLINK("..\..\Imagery\ScannedPhotos\1993\VN93-216.jpg")</f>
        <v>..\..\Imagery\ScannedPhotos\1993\VN93-216.jpg</v>
      </c>
    </row>
    <row r="4137" spans="1:13" x14ac:dyDescent="0.25">
      <c r="A4137" t="s">
        <v>1336</v>
      </c>
      <c r="B4137">
        <v>545893</v>
      </c>
      <c r="C4137">
        <v>5733137</v>
      </c>
      <c r="D4137">
        <v>21</v>
      </c>
      <c r="E4137" t="s">
        <v>15</v>
      </c>
      <c r="F4137" t="s">
        <v>9820</v>
      </c>
      <c r="G4137">
        <v>3</v>
      </c>
      <c r="H4137" t="s">
        <v>1338</v>
      </c>
      <c r="I4137" t="s">
        <v>129</v>
      </c>
      <c r="J4137" t="s">
        <v>570</v>
      </c>
      <c r="K4137" t="s">
        <v>20</v>
      </c>
      <c r="L4137" t="s">
        <v>9821</v>
      </c>
      <c r="M4137" s="3" t="str">
        <f>HYPERLINK("..\..\Imagery\ScannedPhotos\1993\VN93-218.3.jpg")</f>
        <v>..\..\Imagery\ScannedPhotos\1993\VN93-218.3.jpg</v>
      </c>
    </row>
    <row r="4138" spans="1:13" x14ac:dyDescent="0.25">
      <c r="A4138" t="s">
        <v>9822</v>
      </c>
      <c r="B4138">
        <v>531408</v>
      </c>
      <c r="C4138">
        <v>5737695</v>
      </c>
      <c r="D4138">
        <v>21</v>
      </c>
      <c r="E4138" t="s">
        <v>15</v>
      </c>
      <c r="F4138" t="s">
        <v>9823</v>
      </c>
      <c r="G4138">
        <v>1</v>
      </c>
      <c r="H4138" t="s">
        <v>1784</v>
      </c>
      <c r="I4138" t="s">
        <v>360</v>
      </c>
      <c r="J4138" t="s">
        <v>1738</v>
      </c>
      <c r="K4138" t="s">
        <v>56</v>
      </c>
      <c r="L4138" t="s">
        <v>5573</v>
      </c>
      <c r="M4138" s="3" t="str">
        <f>HYPERLINK("..\..\Imagery\ScannedPhotos\1993\VN93-255.jpg")</f>
        <v>..\..\Imagery\ScannedPhotos\1993\VN93-255.jpg</v>
      </c>
    </row>
    <row r="4139" spans="1:13" x14ac:dyDescent="0.25">
      <c r="A4139" t="s">
        <v>9824</v>
      </c>
      <c r="B4139">
        <v>591265</v>
      </c>
      <c r="C4139">
        <v>5786807</v>
      </c>
      <c r="D4139">
        <v>21</v>
      </c>
      <c r="E4139" t="s">
        <v>15</v>
      </c>
      <c r="F4139" t="s">
        <v>9825</v>
      </c>
      <c r="G4139">
        <v>6</v>
      </c>
      <c r="H4139" t="s">
        <v>2984</v>
      </c>
      <c r="I4139" t="s">
        <v>74</v>
      </c>
      <c r="J4139" t="s">
        <v>19</v>
      </c>
      <c r="K4139" t="s">
        <v>56</v>
      </c>
      <c r="L4139" t="s">
        <v>9826</v>
      </c>
      <c r="M4139" s="3" t="str">
        <f>HYPERLINK("..\..\Imagery\ScannedPhotos\1987\CG87-455.4.jpg")</f>
        <v>..\..\Imagery\ScannedPhotos\1987\CG87-455.4.jpg</v>
      </c>
    </row>
    <row r="4140" spans="1:13" x14ac:dyDescent="0.25">
      <c r="A4140" t="s">
        <v>9824</v>
      </c>
      <c r="B4140">
        <v>591265</v>
      </c>
      <c r="C4140">
        <v>5786807</v>
      </c>
      <c r="D4140">
        <v>21</v>
      </c>
      <c r="E4140" t="s">
        <v>15</v>
      </c>
      <c r="F4140" t="s">
        <v>9827</v>
      </c>
      <c r="G4140">
        <v>6</v>
      </c>
      <c r="H4140" t="s">
        <v>2984</v>
      </c>
      <c r="I4140" t="s">
        <v>41</v>
      </c>
      <c r="J4140" t="s">
        <v>19</v>
      </c>
      <c r="K4140" t="s">
        <v>56</v>
      </c>
      <c r="L4140" t="s">
        <v>9826</v>
      </c>
      <c r="M4140" s="3" t="str">
        <f>HYPERLINK("..\..\Imagery\ScannedPhotos\1987\CG87-455.5.jpg")</f>
        <v>..\..\Imagery\ScannedPhotos\1987\CG87-455.5.jpg</v>
      </c>
    </row>
    <row r="4141" spans="1:13" x14ac:dyDescent="0.25">
      <c r="A4141" t="s">
        <v>9824</v>
      </c>
      <c r="B4141">
        <v>591265</v>
      </c>
      <c r="C4141">
        <v>5786807</v>
      </c>
      <c r="D4141">
        <v>21</v>
      </c>
      <c r="E4141" t="s">
        <v>15</v>
      </c>
      <c r="F4141" t="s">
        <v>9828</v>
      </c>
      <c r="G4141">
        <v>6</v>
      </c>
      <c r="H4141" t="s">
        <v>2984</v>
      </c>
      <c r="I4141" t="s">
        <v>35</v>
      </c>
      <c r="J4141" t="s">
        <v>19</v>
      </c>
      <c r="K4141" t="s">
        <v>56</v>
      </c>
      <c r="L4141" t="s">
        <v>9829</v>
      </c>
      <c r="M4141" s="3" t="str">
        <f>HYPERLINK("..\..\Imagery\ScannedPhotos\1987\CG87-455.2.jpg")</f>
        <v>..\..\Imagery\ScannedPhotos\1987\CG87-455.2.jpg</v>
      </c>
    </row>
    <row r="4142" spans="1:13" x14ac:dyDescent="0.25">
      <c r="A4142" t="s">
        <v>9824</v>
      </c>
      <c r="B4142">
        <v>591265</v>
      </c>
      <c r="C4142">
        <v>5786807</v>
      </c>
      <c r="D4142">
        <v>21</v>
      </c>
      <c r="E4142" t="s">
        <v>15</v>
      </c>
      <c r="F4142" t="s">
        <v>9830</v>
      </c>
      <c r="G4142">
        <v>6</v>
      </c>
      <c r="H4142" t="s">
        <v>2984</v>
      </c>
      <c r="I4142" t="s">
        <v>18</v>
      </c>
      <c r="J4142" t="s">
        <v>19</v>
      </c>
      <c r="K4142" t="s">
        <v>20</v>
      </c>
      <c r="L4142" t="s">
        <v>9831</v>
      </c>
      <c r="M4142" s="3" t="str">
        <f>HYPERLINK("..\..\Imagery\ScannedPhotos\1987\CG87-455.1.jpg")</f>
        <v>..\..\Imagery\ScannedPhotos\1987\CG87-455.1.jpg</v>
      </c>
    </row>
    <row r="4143" spans="1:13" x14ac:dyDescent="0.25">
      <c r="A4143" t="s">
        <v>9824</v>
      </c>
      <c r="B4143">
        <v>591265</v>
      </c>
      <c r="C4143">
        <v>5786807</v>
      </c>
      <c r="D4143">
        <v>21</v>
      </c>
      <c r="E4143" t="s">
        <v>15</v>
      </c>
      <c r="F4143" t="s">
        <v>9832</v>
      </c>
      <c r="G4143">
        <v>6</v>
      </c>
      <c r="H4143" t="s">
        <v>2984</v>
      </c>
      <c r="I4143" t="s">
        <v>85</v>
      </c>
      <c r="J4143" t="s">
        <v>19</v>
      </c>
      <c r="K4143" t="s">
        <v>56</v>
      </c>
      <c r="L4143" t="s">
        <v>9833</v>
      </c>
      <c r="M4143" s="3" t="str">
        <f>HYPERLINK("..\..\Imagery\ScannedPhotos\1987\CG87-455.6.jpg")</f>
        <v>..\..\Imagery\ScannedPhotos\1987\CG87-455.6.jpg</v>
      </c>
    </row>
    <row r="4144" spans="1:13" x14ac:dyDescent="0.25">
      <c r="A4144" t="s">
        <v>9834</v>
      </c>
      <c r="B4144">
        <v>582210</v>
      </c>
      <c r="C4144">
        <v>5788074</v>
      </c>
      <c r="D4144">
        <v>21</v>
      </c>
      <c r="E4144" t="s">
        <v>15</v>
      </c>
      <c r="F4144" t="s">
        <v>9835</v>
      </c>
      <c r="G4144">
        <v>2</v>
      </c>
      <c r="H4144" t="s">
        <v>2984</v>
      </c>
      <c r="I4144" t="s">
        <v>209</v>
      </c>
      <c r="J4144" t="s">
        <v>19</v>
      </c>
      <c r="K4144" t="s">
        <v>20</v>
      </c>
      <c r="L4144" t="s">
        <v>9836</v>
      </c>
      <c r="M4144" s="3" t="str">
        <f>HYPERLINK("..\..\Imagery\ScannedPhotos\1987\CG87-458.2.jpg")</f>
        <v>..\..\Imagery\ScannedPhotos\1987\CG87-458.2.jpg</v>
      </c>
    </row>
    <row r="4145" spans="1:13" x14ac:dyDescent="0.25">
      <c r="A4145" t="s">
        <v>9834</v>
      </c>
      <c r="B4145">
        <v>582210</v>
      </c>
      <c r="C4145">
        <v>5788074</v>
      </c>
      <c r="D4145">
        <v>21</v>
      </c>
      <c r="E4145" t="s">
        <v>15</v>
      </c>
      <c r="F4145" t="s">
        <v>9837</v>
      </c>
      <c r="G4145">
        <v>2</v>
      </c>
      <c r="H4145" t="s">
        <v>2984</v>
      </c>
      <c r="I4145" t="s">
        <v>94</v>
      </c>
      <c r="J4145" t="s">
        <v>19</v>
      </c>
      <c r="K4145" t="s">
        <v>20</v>
      </c>
      <c r="L4145" t="s">
        <v>9836</v>
      </c>
      <c r="M4145" s="3" t="str">
        <f>HYPERLINK("..\..\Imagery\ScannedPhotos\1987\CG87-458.1.jpg")</f>
        <v>..\..\Imagery\ScannedPhotos\1987\CG87-458.1.jpg</v>
      </c>
    </row>
    <row r="4146" spans="1:13" x14ac:dyDescent="0.25">
      <c r="A4146" t="s">
        <v>9838</v>
      </c>
      <c r="B4146">
        <v>571939</v>
      </c>
      <c r="C4146">
        <v>5762078</v>
      </c>
      <c r="D4146">
        <v>21</v>
      </c>
      <c r="E4146" t="s">
        <v>15</v>
      </c>
      <c r="F4146" t="s">
        <v>9839</v>
      </c>
      <c r="G4146">
        <v>2</v>
      </c>
      <c r="H4146" t="s">
        <v>2480</v>
      </c>
      <c r="I4146" t="s">
        <v>418</v>
      </c>
      <c r="J4146" t="s">
        <v>1619</v>
      </c>
      <c r="K4146" t="s">
        <v>56</v>
      </c>
      <c r="L4146" t="s">
        <v>9840</v>
      </c>
      <c r="M4146" s="3" t="str">
        <f>HYPERLINK("..\..\Imagery\ScannedPhotos\1987\JS87-381.1.jpg")</f>
        <v>..\..\Imagery\ScannedPhotos\1987\JS87-381.1.jpg</v>
      </c>
    </row>
    <row r="4147" spans="1:13" x14ac:dyDescent="0.25">
      <c r="A4147" t="s">
        <v>9838</v>
      </c>
      <c r="B4147">
        <v>571939</v>
      </c>
      <c r="C4147">
        <v>5762078</v>
      </c>
      <c r="D4147">
        <v>21</v>
      </c>
      <c r="E4147" t="s">
        <v>15</v>
      </c>
      <c r="F4147" t="s">
        <v>9841</v>
      </c>
      <c r="G4147">
        <v>2</v>
      </c>
      <c r="H4147" t="s">
        <v>2480</v>
      </c>
      <c r="I4147" t="s">
        <v>304</v>
      </c>
      <c r="J4147" t="s">
        <v>1619</v>
      </c>
      <c r="K4147" t="s">
        <v>20</v>
      </c>
      <c r="L4147" t="s">
        <v>9840</v>
      </c>
      <c r="M4147" s="3" t="str">
        <f>HYPERLINK("..\..\Imagery\ScannedPhotos\1987\JS87-381.2.jpg")</f>
        <v>..\..\Imagery\ScannedPhotos\1987\JS87-381.2.jpg</v>
      </c>
    </row>
    <row r="4148" spans="1:13" x14ac:dyDescent="0.25">
      <c r="A4148" t="s">
        <v>9842</v>
      </c>
      <c r="B4148">
        <v>389799</v>
      </c>
      <c r="C4148">
        <v>5845171</v>
      </c>
      <c r="D4148">
        <v>21</v>
      </c>
      <c r="E4148" t="s">
        <v>15</v>
      </c>
      <c r="F4148" t="s">
        <v>9843</v>
      </c>
      <c r="G4148">
        <v>4</v>
      </c>
      <c r="H4148" t="s">
        <v>770</v>
      </c>
      <c r="I4148" t="s">
        <v>137</v>
      </c>
      <c r="J4148" t="s">
        <v>771</v>
      </c>
      <c r="K4148" t="s">
        <v>20</v>
      </c>
      <c r="L4148" t="s">
        <v>2230</v>
      </c>
      <c r="M4148" s="3" t="str">
        <f>HYPERLINK("..\..\Imagery\ScannedPhotos\1997\CG97-300.1.jpg")</f>
        <v>..\..\Imagery\ScannedPhotos\1997\CG97-300.1.jpg</v>
      </c>
    </row>
    <row r="4149" spans="1:13" x14ac:dyDescent="0.25">
      <c r="A4149" t="s">
        <v>4273</v>
      </c>
      <c r="B4149">
        <v>504781</v>
      </c>
      <c r="C4149">
        <v>6034276</v>
      </c>
      <c r="D4149">
        <v>21</v>
      </c>
      <c r="E4149" t="s">
        <v>15</v>
      </c>
      <c r="F4149" t="s">
        <v>9844</v>
      </c>
      <c r="G4149">
        <v>2</v>
      </c>
      <c r="H4149" t="s">
        <v>835</v>
      </c>
      <c r="I4149" t="s">
        <v>209</v>
      </c>
      <c r="J4149" t="s">
        <v>423</v>
      </c>
      <c r="K4149" t="s">
        <v>20</v>
      </c>
      <c r="L4149" t="s">
        <v>4275</v>
      </c>
      <c r="M4149" s="3" t="str">
        <f>HYPERLINK("..\..\Imagery\ScannedPhotos\1979\CG79-346.1.jpg")</f>
        <v>..\..\Imagery\ScannedPhotos\1979\CG79-346.1.jpg</v>
      </c>
    </row>
    <row r="4150" spans="1:13" x14ac:dyDescent="0.25">
      <c r="A4150" t="s">
        <v>9845</v>
      </c>
      <c r="B4150">
        <v>479420</v>
      </c>
      <c r="C4150">
        <v>5947158</v>
      </c>
      <c r="D4150">
        <v>21</v>
      </c>
      <c r="E4150" t="s">
        <v>15</v>
      </c>
      <c r="F4150" t="s">
        <v>9846</v>
      </c>
      <c r="G4150">
        <v>1</v>
      </c>
      <c r="H4150" t="s">
        <v>46</v>
      </c>
      <c r="I4150" t="s">
        <v>217</v>
      </c>
      <c r="J4150" t="s">
        <v>48</v>
      </c>
      <c r="K4150" t="s">
        <v>20</v>
      </c>
      <c r="L4150" t="s">
        <v>9847</v>
      </c>
      <c r="M4150" s="3" t="str">
        <f>HYPERLINK("..\..\Imagery\ScannedPhotos\1981\GF81-033.jpg")</f>
        <v>..\..\Imagery\ScannedPhotos\1981\GF81-033.jpg</v>
      </c>
    </row>
    <row r="4151" spans="1:13" x14ac:dyDescent="0.25">
      <c r="A4151" t="s">
        <v>9848</v>
      </c>
      <c r="B4151">
        <v>395369</v>
      </c>
      <c r="C4151">
        <v>5989742</v>
      </c>
      <c r="D4151">
        <v>21</v>
      </c>
      <c r="E4151" t="s">
        <v>15</v>
      </c>
      <c r="F4151" t="s">
        <v>9849</v>
      </c>
      <c r="G4151">
        <v>4</v>
      </c>
      <c r="H4151" t="s">
        <v>781</v>
      </c>
      <c r="I4151" t="s">
        <v>114</v>
      </c>
      <c r="J4151" t="s">
        <v>782</v>
      </c>
      <c r="K4151" t="s">
        <v>20</v>
      </c>
      <c r="L4151" t="s">
        <v>9850</v>
      </c>
      <c r="M4151" s="3" t="str">
        <f>HYPERLINK("..\..\Imagery\ScannedPhotos\1980\NN80-100.3.jpg")</f>
        <v>..\..\Imagery\ScannedPhotos\1980\NN80-100.3.jpg</v>
      </c>
    </row>
    <row r="4152" spans="1:13" x14ac:dyDescent="0.25">
      <c r="A4152" t="s">
        <v>9851</v>
      </c>
      <c r="B4152">
        <v>393600</v>
      </c>
      <c r="C4152">
        <v>5988873</v>
      </c>
      <c r="D4152">
        <v>21</v>
      </c>
      <c r="E4152" t="s">
        <v>15</v>
      </c>
      <c r="F4152" t="s">
        <v>9852</v>
      </c>
      <c r="G4152">
        <v>1</v>
      </c>
      <c r="H4152" t="s">
        <v>781</v>
      </c>
      <c r="I4152" t="s">
        <v>143</v>
      </c>
      <c r="J4152" t="s">
        <v>782</v>
      </c>
      <c r="K4152" t="s">
        <v>56</v>
      </c>
      <c r="L4152" t="s">
        <v>9853</v>
      </c>
      <c r="M4152" s="3" t="str">
        <f>HYPERLINK("..\..\Imagery\ScannedPhotos\1980\NN80-119.jpg")</f>
        <v>..\..\Imagery\ScannedPhotos\1980\NN80-119.jpg</v>
      </c>
    </row>
    <row r="4153" spans="1:13" x14ac:dyDescent="0.25">
      <c r="A4153" t="s">
        <v>1422</v>
      </c>
      <c r="B4153">
        <v>393245</v>
      </c>
      <c r="C4153">
        <v>5988458</v>
      </c>
      <c r="D4153">
        <v>21</v>
      </c>
      <c r="E4153" t="s">
        <v>15</v>
      </c>
      <c r="F4153" t="s">
        <v>9854</v>
      </c>
      <c r="G4153">
        <v>6</v>
      </c>
      <c r="H4153" t="s">
        <v>1424</v>
      </c>
      <c r="I4153" t="s">
        <v>18</v>
      </c>
      <c r="J4153" t="s">
        <v>623</v>
      </c>
      <c r="K4153" t="s">
        <v>56</v>
      </c>
      <c r="L4153" t="s">
        <v>1425</v>
      </c>
      <c r="M4153" s="3" t="str">
        <f>HYPERLINK("..\..\Imagery\ScannedPhotos\1980\NN80-123.3.jpg")</f>
        <v>..\..\Imagery\ScannedPhotos\1980\NN80-123.3.jpg</v>
      </c>
    </row>
    <row r="4154" spans="1:13" x14ac:dyDescent="0.25">
      <c r="A4154" t="s">
        <v>7915</v>
      </c>
      <c r="B4154">
        <v>465894</v>
      </c>
      <c r="C4154">
        <v>5902169</v>
      </c>
      <c r="D4154">
        <v>21</v>
      </c>
      <c r="E4154" t="s">
        <v>15</v>
      </c>
      <c r="F4154" t="s">
        <v>9855</v>
      </c>
      <c r="G4154">
        <v>4</v>
      </c>
      <c r="H4154" t="s">
        <v>4524</v>
      </c>
      <c r="I4154" t="s">
        <v>85</v>
      </c>
      <c r="J4154" t="s">
        <v>3309</v>
      </c>
      <c r="K4154" t="s">
        <v>228</v>
      </c>
      <c r="L4154" t="s">
        <v>9856</v>
      </c>
      <c r="M4154" s="3" t="str">
        <f>HYPERLINK("..\..\Imagery\ScannedPhotos\1984\VN84-439.4.jpg")</f>
        <v>..\..\Imagery\ScannedPhotos\1984\VN84-439.4.jpg</v>
      </c>
    </row>
    <row r="4155" spans="1:13" x14ac:dyDescent="0.25">
      <c r="A4155" t="s">
        <v>7915</v>
      </c>
      <c r="B4155">
        <v>465894</v>
      </c>
      <c r="C4155">
        <v>5902169</v>
      </c>
      <c r="D4155">
        <v>21</v>
      </c>
      <c r="E4155" t="s">
        <v>15</v>
      </c>
      <c r="F4155" t="s">
        <v>9857</v>
      </c>
      <c r="G4155">
        <v>4</v>
      </c>
      <c r="H4155" t="s">
        <v>4524</v>
      </c>
      <c r="I4155" t="s">
        <v>41</v>
      </c>
      <c r="J4155" t="s">
        <v>3309</v>
      </c>
      <c r="K4155" t="s">
        <v>20</v>
      </c>
      <c r="L4155" t="s">
        <v>9858</v>
      </c>
      <c r="M4155" s="3" t="str">
        <f>HYPERLINK("..\..\Imagery\ScannedPhotos\1984\VN84-439.2.jpg")</f>
        <v>..\..\Imagery\ScannedPhotos\1984\VN84-439.2.jpg</v>
      </c>
    </row>
    <row r="4156" spans="1:13" x14ac:dyDescent="0.25">
      <c r="A4156" t="s">
        <v>9859</v>
      </c>
      <c r="B4156">
        <v>556612</v>
      </c>
      <c r="C4156">
        <v>5875899</v>
      </c>
      <c r="D4156">
        <v>21</v>
      </c>
      <c r="E4156" t="s">
        <v>15</v>
      </c>
      <c r="F4156" t="s">
        <v>9860</v>
      </c>
      <c r="G4156">
        <v>1</v>
      </c>
      <c r="H4156" t="s">
        <v>3174</v>
      </c>
      <c r="I4156" t="s">
        <v>47</v>
      </c>
      <c r="J4156" t="s">
        <v>1797</v>
      </c>
      <c r="K4156" t="s">
        <v>20</v>
      </c>
      <c r="L4156" t="s">
        <v>9861</v>
      </c>
      <c r="M4156" s="3" t="str">
        <f>HYPERLINK("..\..\Imagery\ScannedPhotos\1985\VN85-383.jpg")</f>
        <v>..\..\Imagery\ScannedPhotos\1985\VN85-383.jpg</v>
      </c>
    </row>
    <row r="4157" spans="1:13" x14ac:dyDescent="0.25">
      <c r="A4157" t="s">
        <v>9862</v>
      </c>
      <c r="B4157">
        <v>558654</v>
      </c>
      <c r="C4157">
        <v>5875864</v>
      </c>
      <c r="D4157">
        <v>21</v>
      </c>
      <c r="E4157" t="s">
        <v>15</v>
      </c>
      <c r="F4157" t="s">
        <v>9863</v>
      </c>
      <c r="G4157">
        <v>2</v>
      </c>
      <c r="H4157" t="s">
        <v>3174</v>
      </c>
      <c r="I4157" t="s">
        <v>65</v>
      </c>
      <c r="J4157" t="s">
        <v>1797</v>
      </c>
      <c r="K4157" t="s">
        <v>56</v>
      </c>
      <c r="L4157" t="s">
        <v>9864</v>
      </c>
      <c r="M4157" s="3" t="str">
        <f>HYPERLINK("..\..\Imagery\ScannedPhotos\1985\VN85-387.2.jpg")</f>
        <v>..\..\Imagery\ScannedPhotos\1985\VN85-387.2.jpg</v>
      </c>
    </row>
    <row r="4158" spans="1:13" x14ac:dyDescent="0.25">
      <c r="A4158" t="s">
        <v>9862</v>
      </c>
      <c r="B4158">
        <v>558654</v>
      </c>
      <c r="C4158">
        <v>5875864</v>
      </c>
      <c r="D4158">
        <v>21</v>
      </c>
      <c r="E4158" t="s">
        <v>15</v>
      </c>
      <c r="F4158" t="s">
        <v>9865</v>
      </c>
      <c r="G4158">
        <v>2</v>
      </c>
      <c r="H4158" t="s">
        <v>3174</v>
      </c>
      <c r="I4158" t="s">
        <v>52</v>
      </c>
      <c r="J4158" t="s">
        <v>1797</v>
      </c>
      <c r="K4158" t="s">
        <v>56</v>
      </c>
      <c r="L4158" t="s">
        <v>9864</v>
      </c>
      <c r="M4158" s="3" t="str">
        <f>HYPERLINK("..\..\Imagery\ScannedPhotos\1985\VN85-387.1.jpg")</f>
        <v>..\..\Imagery\ScannedPhotos\1985\VN85-387.1.jpg</v>
      </c>
    </row>
    <row r="4159" spans="1:13" x14ac:dyDescent="0.25">
      <c r="A4159" t="s">
        <v>9866</v>
      </c>
      <c r="B4159">
        <v>559907</v>
      </c>
      <c r="C4159">
        <v>5875280</v>
      </c>
      <c r="D4159">
        <v>21</v>
      </c>
      <c r="E4159" t="s">
        <v>15</v>
      </c>
      <c r="F4159" t="s">
        <v>9867</v>
      </c>
      <c r="G4159">
        <v>1</v>
      </c>
      <c r="H4159" t="s">
        <v>1796</v>
      </c>
      <c r="I4159" t="s">
        <v>281</v>
      </c>
      <c r="J4159" t="s">
        <v>1797</v>
      </c>
      <c r="K4159" t="s">
        <v>20</v>
      </c>
      <c r="L4159" t="s">
        <v>9868</v>
      </c>
      <c r="M4159" s="3" t="str">
        <f>HYPERLINK("..\..\Imagery\ScannedPhotos\1985\VN85-390.jpg")</f>
        <v>..\..\Imagery\ScannedPhotos\1985\VN85-390.jpg</v>
      </c>
    </row>
    <row r="4160" spans="1:13" x14ac:dyDescent="0.25">
      <c r="A4160" t="s">
        <v>9869</v>
      </c>
      <c r="B4160">
        <v>562045</v>
      </c>
      <c r="C4160">
        <v>5875289</v>
      </c>
      <c r="D4160">
        <v>21</v>
      </c>
      <c r="E4160" t="s">
        <v>15</v>
      </c>
      <c r="F4160" t="s">
        <v>9870</v>
      </c>
      <c r="G4160">
        <v>2</v>
      </c>
      <c r="H4160" t="s">
        <v>1796</v>
      </c>
      <c r="I4160" t="s">
        <v>137</v>
      </c>
      <c r="J4160" t="s">
        <v>1797</v>
      </c>
      <c r="K4160" t="s">
        <v>20</v>
      </c>
      <c r="L4160" t="s">
        <v>9871</v>
      </c>
      <c r="M4160" s="3" t="str">
        <f>HYPERLINK("..\..\Imagery\ScannedPhotos\1985\VN85-397.1.jpg")</f>
        <v>..\..\Imagery\ScannedPhotos\1985\VN85-397.1.jpg</v>
      </c>
    </row>
    <row r="4161" spans="1:13" x14ac:dyDescent="0.25">
      <c r="A4161" t="s">
        <v>9177</v>
      </c>
      <c r="B4161">
        <v>326552</v>
      </c>
      <c r="C4161">
        <v>5818470</v>
      </c>
      <c r="D4161">
        <v>21</v>
      </c>
      <c r="E4161" t="s">
        <v>15</v>
      </c>
      <c r="F4161" t="s">
        <v>9872</v>
      </c>
      <c r="G4161">
        <v>4</v>
      </c>
      <c r="H4161" t="s">
        <v>2236</v>
      </c>
      <c r="I4161" t="s">
        <v>360</v>
      </c>
      <c r="J4161" t="s">
        <v>80</v>
      </c>
      <c r="K4161" t="s">
        <v>20</v>
      </c>
      <c r="L4161" t="s">
        <v>4646</v>
      </c>
      <c r="M4161" s="3" t="str">
        <f>HYPERLINK("..\..\Imagery\ScannedPhotos\2000\CG00-272.3.jpg")</f>
        <v>..\..\Imagery\ScannedPhotos\2000\CG00-272.3.jpg</v>
      </c>
    </row>
    <row r="4162" spans="1:13" x14ac:dyDescent="0.25">
      <c r="A4162" t="s">
        <v>9177</v>
      </c>
      <c r="B4162">
        <v>326552</v>
      </c>
      <c r="C4162">
        <v>5818470</v>
      </c>
      <c r="D4162">
        <v>21</v>
      </c>
      <c r="E4162" t="s">
        <v>15</v>
      </c>
      <c r="F4162" t="s">
        <v>9873</v>
      </c>
      <c r="G4162">
        <v>4</v>
      </c>
      <c r="H4162" t="s">
        <v>2236</v>
      </c>
      <c r="I4162" t="s">
        <v>647</v>
      </c>
      <c r="J4162" t="s">
        <v>80</v>
      </c>
      <c r="K4162" t="s">
        <v>20</v>
      </c>
      <c r="L4162" t="s">
        <v>4646</v>
      </c>
      <c r="M4162" s="3" t="str">
        <f>HYPERLINK("..\..\Imagery\ScannedPhotos\2000\CG00-272.4.jpg")</f>
        <v>..\..\Imagery\ScannedPhotos\2000\CG00-272.4.jpg</v>
      </c>
    </row>
    <row r="4163" spans="1:13" x14ac:dyDescent="0.25">
      <c r="A4163" t="s">
        <v>9874</v>
      </c>
      <c r="B4163">
        <v>347225</v>
      </c>
      <c r="C4163">
        <v>5796025</v>
      </c>
      <c r="D4163">
        <v>21</v>
      </c>
      <c r="E4163" t="s">
        <v>15</v>
      </c>
      <c r="F4163" t="s">
        <v>9875</v>
      </c>
      <c r="G4163">
        <v>1</v>
      </c>
      <c r="H4163" t="s">
        <v>2236</v>
      </c>
      <c r="I4163" t="s">
        <v>30</v>
      </c>
      <c r="J4163" t="s">
        <v>80</v>
      </c>
      <c r="K4163" t="s">
        <v>56</v>
      </c>
      <c r="L4163" t="s">
        <v>9876</v>
      </c>
      <c r="M4163" s="3" t="str">
        <f>HYPERLINK("..\..\Imagery\ScannedPhotos\2000\CG00-280.jpg")</f>
        <v>..\..\Imagery\ScannedPhotos\2000\CG00-280.jpg</v>
      </c>
    </row>
    <row r="4164" spans="1:13" x14ac:dyDescent="0.25">
      <c r="A4164" t="s">
        <v>9877</v>
      </c>
      <c r="B4164">
        <v>567640</v>
      </c>
      <c r="C4164">
        <v>5946751</v>
      </c>
      <c r="D4164">
        <v>21</v>
      </c>
      <c r="E4164" t="s">
        <v>15</v>
      </c>
      <c r="F4164" t="s">
        <v>9878</v>
      </c>
      <c r="G4164">
        <v>4</v>
      </c>
      <c r="H4164" t="s">
        <v>1373</v>
      </c>
      <c r="I4164" t="s">
        <v>47</v>
      </c>
      <c r="J4164" t="s">
        <v>1374</v>
      </c>
      <c r="K4164" t="s">
        <v>20</v>
      </c>
      <c r="L4164" t="s">
        <v>9879</v>
      </c>
      <c r="M4164" s="3" t="str">
        <f>HYPERLINK("..\..\Imagery\ScannedPhotos\1985\CG85-541.4.jpg")</f>
        <v>..\..\Imagery\ScannedPhotos\1985\CG85-541.4.jpg</v>
      </c>
    </row>
    <row r="4165" spans="1:13" x14ac:dyDescent="0.25">
      <c r="A4165" t="s">
        <v>2731</v>
      </c>
      <c r="B4165">
        <v>579966</v>
      </c>
      <c r="C4165">
        <v>5850649</v>
      </c>
      <c r="D4165">
        <v>21</v>
      </c>
      <c r="E4165" t="s">
        <v>15</v>
      </c>
      <c r="F4165" t="s">
        <v>9880</v>
      </c>
      <c r="G4165">
        <v>18</v>
      </c>
      <c r="H4165" t="s">
        <v>2484</v>
      </c>
      <c r="I4165" t="s">
        <v>41</v>
      </c>
      <c r="J4165" t="s">
        <v>2485</v>
      </c>
      <c r="K4165" t="s">
        <v>20</v>
      </c>
      <c r="L4165" t="s">
        <v>2738</v>
      </c>
      <c r="M4165" s="3" t="str">
        <f>HYPERLINK("..\..\Imagery\ScannedPhotos\1986\CG86-528.8.jpg")</f>
        <v>..\..\Imagery\ScannedPhotos\1986\CG86-528.8.jpg</v>
      </c>
    </row>
    <row r="4166" spans="1:13" x14ac:dyDescent="0.25">
      <c r="A4166" t="s">
        <v>902</v>
      </c>
      <c r="B4166">
        <v>439773</v>
      </c>
      <c r="C4166">
        <v>5775232</v>
      </c>
      <c r="D4166">
        <v>21</v>
      </c>
      <c r="E4166" t="s">
        <v>15</v>
      </c>
      <c r="F4166" t="s">
        <v>9881</v>
      </c>
      <c r="G4166">
        <v>6</v>
      </c>
      <c r="H4166" t="s">
        <v>904</v>
      </c>
      <c r="I4166" t="s">
        <v>214</v>
      </c>
      <c r="J4166" t="s">
        <v>905</v>
      </c>
      <c r="K4166" t="s">
        <v>20</v>
      </c>
      <c r="L4166" t="s">
        <v>9882</v>
      </c>
      <c r="M4166" s="3" t="str">
        <f>HYPERLINK("..\..\Imagery\ScannedPhotos\1992\VN92-218.3.jpg")</f>
        <v>..\..\Imagery\ScannedPhotos\1992\VN92-218.3.jpg</v>
      </c>
    </row>
    <row r="4167" spans="1:13" x14ac:dyDescent="0.25">
      <c r="A4167" t="s">
        <v>902</v>
      </c>
      <c r="B4167">
        <v>439773</v>
      </c>
      <c r="C4167">
        <v>5775232</v>
      </c>
      <c r="D4167">
        <v>21</v>
      </c>
      <c r="E4167" t="s">
        <v>15</v>
      </c>
      <c r="F4167" t="s">
        <v>9883</v>
      </c>
      <c r="G4167">
        <v>6</v>
      </c>
      <c r="H4167" t="s">
        <v>904</v>
      </c>
      <c r="I4167" t="s">
        <v>386</v>
      </c>
      <c r="J4167" t="s">
        <v>905</v>
      </c>
      <c r="K4167" t="s">
        <v>20</v>
      </c>
      <c r="L4167" t="s">
        <v>9884</v>
      </c>
      <c r="M4167" s="3" t="str">
        <f>HYPERLINK("..\..\Imagery\ScannedPhotos\1992\VN92-218.1.jpg")</f>
        <v>..\..\Imagery\ScannedPhotos\1992\VN92-218.1.jpg</v>
      </c>
    </row>
    <row r="4168" spans="1:13" x14ac:dyDescent="0.25">
      <c r="A4168" t="s">
        <v>902</v>
      </c>
      <c r="B4168">
        <v>439773</v>
      </c>
      <c r="C4168">
        <v>5775232</v>
      </c>
      <c r="D4168">
        <v>21</v>
      </c>
      <c r="E4168" t="s">
        <v>15</v>
      </c>
      <c r="F4168" t="s">
        <v>9885</v>
      </c>
      <c r="G4168">
        <v>6</v>
      </c>
      <c r="H4168" t="s">
        <v>904</v>
      </c>
      <c r="I4168" t="s">
        <v>304</v>
      </c>
      <c r="J4168" t="s">
        <v>905</v>
      </c>
      <c r="K4168" t="s">
        <v>20</v>
      </c>
      <c r="L4168" t="s">
        <v>9886</v>
      </c>
      <c r="M4168" s="3" t="str">
        <f>HYPERLINK("..\..\Imagery\ScannedPhotos\1992\VN92-218.6.jpg")</f>
        <v>..\..\Imagery\ScannedPhotos\1992\VN92-218.6.jpg</v>
      </c>
    </row>
    <row r="4169" spans="1:13" x14ac:dyDescent="0.25">
      <c r="A4169" t="s">
        <v>902</v>
      </c>
      <c r="B4169">
        <v>439773</v>
      </c>
      <c r="C4169">
        <v>5775232</v>
      </c>
      <c r="D4169">
        <v>21</v>
      </c>
      <c r="E4169" t="s">
        <v>15</v>
      </c>
      <c r="F4169" t="s">
        <v>9887</v>
      </c>
      <c r="G4169">
        <v>6</v>
      </c>
      <c r="H4169" t="s">
        <v>904</v>
      </c>
      <c r="I4169" t="s">
        <v>217</v>
      </c>
      <c r="J4169" t="s">
        <v>905</v>
      </c>
      <c r="K4169" t="s">
        <v>20</v>
      </c>
      <c r="L4169" t="s">
        <v>9888</v>
      </c>
      <c r="M4169" s="3" t="str">
        <f>HYPERLINK("..\..\Imagery\ScannedPhotos\1992\VN92-218.2.jpg")</f>
        <v>..\..\Imagery\ScannedPhotos\1992\VN92-218.2.jpg</v>
      </c>
    </row>
    <row r="4170" spans="1:13" x14ac:dyDescent="0.25">
      <c r="A4170" t="s">
        <v>9889</v>
      </c>
      <c r="B4170">
        <v>435190</v>
      </c>
      <c r="C4170">
        <v>5763180</v>
      </c>
      <c r="D4170">
        <v>21</v>
      </c>
      <c r="E4170" t="s">
        <v>15</v>
      </c>
      <c r="F4170" t="s">
        <v>9890</v>
      </c>
      <c r="G4170">
        <v>1</v>
      </c>
      <c r="H4170" t="s">
        <v>904</v>
      </c>
      <c r="I4170" t="s">
        <v>25</v>
      </c>
      <c r="J4170" t="s">
        <v>905</v>
      </c>
      <c r="K4170" t="s">
        <v>56</v>
      </c>
      <c r="L4170" t="s">
        <v>9891</v>
      </c>
      <c r="M4170" s="3" t="str">
        <f>HYPERLINK("..\..\Imagery\ScannedPhotos\1992\VN92-219.jpg")</f>
        <v>..\..\Imagery\ScannedPhotos\1992\VN92-219.jpg</v>
      </c>
    </row>
    <row r="4171" spans="1:13" x14ac:dyDescent="0.25">
      <c r="A4171" t="s">
        <v>9892</v>
      </c>
      <c r="B4171">
        <v>351817</v>
      </c>
      <c r="C4171">
        <v>6011956</v>
      </c>
      <c r="D4171">
        <v>21</v>
      </c>
      <c r="E4171" t="s">
        <v>15</v>
      </c>
      <c r="F4171" t="s">
        <v>9893</v>
      </c>
      <c r="G4171">
        <v>1</v>
      </c>
      <c r="H4171" t="s">
        <v>226</v>
      </c>
      <c r="I4171" t="s">
        <v>418</v>
      </c>
      <c r="J4171" t="s">
        <v>227</v>
      </c>
      <c r="K4171" t="s">
        <v>20</v>
      </c>
      <c r="L4171" t="s">
        <v>9894</v>
      </c>
      <c r="M4171" s="3" t="str">
        <f>HYPERLINK("..\..\Imagery\ScannedPhotos\1983\CG83-085.jpg")</f>
        <v>..\..\Imagery\ScannedPhotos\1983\CG83-085.jpg</v>
      </c>
    </row>
    <row r="4172" spans="1:13" x14ac:dyDescent="0.25">
      <c r="A4172" t="s">
        <v>3694</v>
      </c>
      <c r="B4172">
        <v>457835</v>
      </c>
      <c r="C4172">
        <v>5890238</v>
      </c>
      <c r="D4172">
        <v>21</v>
      </c>
      <c r="E4172" t="s">
        <v>15</v>
      </c>
      <c r="F4172" t="s">
        <v>9895</v>
      </c>
      <c r="G4172">
        <v>7</v>
      </c>
      <c r="H4172" t="s">
        <v>3689</v>
      </c>
      <c r="I4172" t="s">
        <v>126</v>
      </c>
      <c r="J4172" t="s">
        <v>3690</v>
      </c>
      <c r="K4172" t="s">
        <v>20</v>
      </c>
      <c r="L4172" t="s">
        <v>9896</v>
      </c>
      <c r="M4172" s="3" t="str">
        <f>HYPERLINK("..\..\Imagery\ScannedPhotos\1984\NN84-509.3.jpg")</f>
        <v>..\..\Imagery\ScannedPhotos\1984\NN84-509.3.jpg</v>
      </c>
    </row>
    <row r="4173" spans="1:13" x14ac:dyDescent="0.25">
      <c r="A4173" t="s">
        <v>3694</v>
      </c>
      <c r="B4173">
        <v>457835</v>
      </c>
      <c r="C4173">
        <v>5890238</v>
      </c>
      <c r="D4173">
        <v>21</v>
      </c>
      <c r="E4173" t="s">
        <v>15</v>
      </c>
      <c r="F4173" t="s">
        <v>9897</v>
      </c>
      <c r="G4173">
        <v>7</v>
      </c>
      <c r="H4173" t="s">
        <v>4506</v>
      </c>
      <c r="I4173" t="s">
        <v>304</v>
      </c>
      <c r="J4173" t="s">
        <v>2247</v>
      </c>
      <c r="K4173" t="s">
        <v>20</v>
      </c>
      <c r="L4173" t="s">
        <v>9898</v>
      </c>
      <c r="M4173" s="3" t="str">
        <f>HYPERLINK("..\..\Imagery\ScannedPhotos\1984\NN84-509.1.jpg")</f>
        <v>..\..\Imagery\ScannedPhotos\1984\NN84-509.1.jpg</v>
      </c>
    </row>
    <row r="4174" spans="1:13" x14ac:dyDescent="0.25">
      <c r="A4174" t="s">
        <v>3694</v>
      </c>
      <c r="B4174">
        <v>457835</v>
      </c>
      <c r="C4174">
        <v>5890238</v>
      </c>
      <c r="D4174">
        <v>21</v>
      </c>
      <c r="E4174" t="s">
        <v>15</v>
      </c>
      <c r="F4174" t="s">
        <v>9899</v>
      </c>
      <c r="G4174">
        <v>7</v>
      </c>
      <c r="H4174" t="s">
        <v>3689</v>
      </c>
      <c r="I4174" t="s">
        <v>143</v>
      </c>
      <c r="J4174" t="s">
        <v>3690</v>
      </c>
      <c r="K4174" t="s">
        <v>56</v>
      </c>
      <c r="L4174" t="s">
        <v>9900</v>
      </c>
      <c r="M4174" s="3" t="str">
        <f>HYPERLINK("..\..\Imagery\ScannedPhotos\1984\NN84-509.7.jpg")</f>
        <v>..\..\Imagery\ScannedPhotos\1984\NN84-509.7.jpg</v>
      </c>
    </row>
    <row r="4175" spans="1:13" x14ac:dyDescent="0.25">
      <c r="A4175" t="s">
        <v>3694</v>
      </c>
      <c r="B4175">
        <v>457835</v>
      </c>
      <c r="C4175">
        <v>5890238</v>
      </c>
      <c r="D4175">
        <v>21</v>
      </c>
      <c r="E4175" t="s">
        <v>15</v>
      </c>
      <c r="F4175" t="s">
        <v>9901</v>
      </c>
      <c r="G4175">
        <v>7</v>
      </c>
      <c r="H4175" t="s">
        <v>4506</v>
      </c>
      <c r="I4175" t="s">
        <v>195</v>
      </c>
      <c r="J4175" t="s">
        <v>2247</v>
      </c>
      <c r="K4175" t="s">
        <v>20</v>
      </c>
      <c r="L4175" t="s">
        <v>9898</v>
      </c>
      <c r="M4175" s="3" t="str">
        <f>HYPERLINK("..\..\Imagery\ScannedPhotos\1984\NN84-509.2.jpg")</f>
        <v>..\..\Imagery\ScannedPhotos\1984\NN84-509.2.jpg</v>
      </c>
    </row>
    <row r="4176" spans="1:13" x14ac:dyDescent="0.25">
      <c r="A4176" t="s">
        <v>3694</v>
      </c>
      <c r="B4176">
        <v>457835</v>
      </c>
      <c r="C4176">
        <v>5890238</v>
      </c>
      <c r="D4176">
        <v>21</v>
      </c>
      <c r="E4176" t="s">
        <v>15</v>
      </c>
      <c r="F4176" t="s">
        <v>9902</v>
      </c>
      <c r="G4176">
        <v>7</v>
      </c>
      <c r="H4176" t="s">
        <v>3689</v>
      </c>
      <c r="I4176" t="s">
        <v>132</v>
      </c>
      <c r="J4176" t="s">
        <v>3690</v>
      </c>
      <c r="K4176" t="s">
        <v>20</v>
      </c>
      <c r="L4176" t="s">
        <v>3696</v>
      </c>
      <c r="M4176" s="3" t="str">
        <f>HYPERLINK("..\..\Imagery\ScannedPhotos\1984\NN84-509.5.jpg")</f>
        <v>..\..\Imagery\ScannedPhotos\1984\NN84-509.5.jpg</v>
      </c>
    </row>
    <row r="4177" spans="1:13" x14ac:dyDescent="0.25">
      <c r="A4177" t="s">
        <v>3694</v>
      </c>
      <c r="B4177">
        <v>457835</v>
      </c>
      <c r="C4177">
        <v>5890238</v>
      </c>
      <c r="D4177">
        <v>21</v>
      </c>
      <c r="E4177" t="s">
        <v>15</v>
      </c>
      <c r="F4177" t="s">
        <v>9903</v>
      </c>
      <c r="G4177">
        <v>7</v>
      </c>
      <c r="H4177" t="s">
        <v>3689</v>
      </c>
      <c r="I4177" t="s">
        <v>108</v>
      </c>
      <c r="J4177" t="s">
        <v>3690</v>
      </c>
      <c r="K4177" t="s">
        <v>20</v>
      </c>
      <c r="L4177" t="s">
        <v>9896</v>
      </c>
      <c r="M4177" s="3" t="str">
        <f>HYPERLINK("..\..\Imagery\ScannedPhotos\1984\NN84-509.4.jpg")</f>
        <v>..\..\Imagery\ScannedPhotos\1984\NN84-509.4.jpg</v>
      </c>
    </row>
    <row r="4178" spans="1:13" x14ac:dyDescent="0.25">
      <c r="A4178" t="s">
        <v>9904</v>
      </c>
      <c r="B4178">
        <v>448668</v>
      </c>
      <c r="C4178">
        <v>5773420</v>
      </c>
      <c r="D4178">
        <v>21</v>
      </c>
      <c r="E4178" t="s">
        <v>15</v>
      </c>
      <c r="F4178" t="s">
        <v>9905</v>
      </c>
      <c r="G4178">
        <v>3</v>
      </c>
      <c r="H4178" t="s">
        <v>4076</v>
      </c>
      <c r="I4178" t="s">
        <v>360</v>
      </c>
      <c r="J4178" t="s">
        <v>905</v>
      </c>
      <c r="K4178" t="s">
        <v>56</v>
      </c>
      <c r="L4178" t="s">
        <v>9906</v>
      </c>
      <c r="M4178" s="3" t="str">
        <f>HYPERLINK("..\..\Imagery\ScannedPhotos\1992\VN92-189.3.jpg")</f>
        <v>..\..\Imagery\ScannedPhotos\1992\VN92-189.3.jpg</v>
      </c>
    </row>
    <row r="4179" spans="1:13" x14ac:dyDescent="0.25">
      <c r="A4179" t="s">
        <v>9907</v>
      </c>
      <c r="B4179">
        <v>562715</v>
      </c>
      <c r="C4179">
        <v>5833408</v>
      </c>
      <c r="D4179">
        <v>21</v>
      </c>
      <c r="E4179" t="s">
        <v>15</v>
      </c>
      <c r="F4179" t="s">
        <v>9908</v>
      </c>
      <c r="G4179">
        <v>2</v>
      </c>
      <c r="H4179" t="s">
        <v>1851</v>
      </c>
      <c r="I4179" t="s">
        <v>304</v>
      </c>
      <c r="J4179" t="s">
        <v>1852</v>
      </c>
      <c r="K4179" t="s">
        <v>20</v>
      </c>
      <c r="L4179" t="s">
        <v>9909</v>
      </c>
      <c r="M4179" s="3" t="str">
        <f>HYPERLINK("..\..\Imagery\ScannedPhotos\1986\MN86-329.2.jpg")</f>
        <v>..\..\Imagery\ScannedPhotos\1986\MN86-329.2.jpg</v>
      </c>
    </row>
    <row r="4180" spans="1:13" x14ac:dyDescent="0.25">
      <c r="A4180" t="s">
        <v>9910</v>
      </c>
      <c r="B4180">
        <v>581334</v>
      </c>
      <c r="C4180">
        <v>5870190</v>
      </c>
      <c r="D4180">
        <v>21</v>
      </c>
      <c r="E4180" t="s">
        <v>15</v>
      </c>
      <c r="F4180" t="s">
        <v>9911</v>
      </c>
      <c r="G4180">
        <v>1</v>
      </c>
      <c r="H4180" t="s">
        <v>1851</v>
      </c>
      <c r="I4180" t="s">
        <v>114</v>
      </c>
      <c r="J4180" t="s">
        <v>1852</v>
      </c>
      <c r="K4180" t="s">
        <v>56</v>
      </c>
      <c r="L4180" t="s">
        <v>9912</v>
      </c>
      <c r="M4180" s="3" t="str">
        <f>HYPERLINK("..\..\Imagery\ScannedPhotos\1986\MN86-332.jpg")</f>
        <v>..\..\Imagery\ScannedPhotos\1986\MN86-332.jpg</v>
      </c>
    </row>
    <row r="4181" spans="1:13" x14ac:dyDescent="0.25">
      <c r="A4181" t="s">
        <v>9913</v>
      </c>
      <c r="B4181">
        <v>581498</v>
      </c>
      <c r="C4181">
        <v>5869090</v>
      </c>
      <c r="D4181">
        <v>21</v>
      </c>
      <c r="E4181" t="s">
        <v>15</v>
      </c>
      <c r="F4181" t="s">
        <v>9914</v>
      </c>
      <c r="G4181">
        <v>1</v>
      </c>
      <c r="H4181" t="s">
        <v>1851</v>
      </c>
      <c r="I4181" t="s">
        <v>126</v>
      </c>
      <c r="J4181" t="s">
        <v>1852</v>
      </c>
      <c r="K4181" t="s">
        <v>20</v>
      </c>
      <c r="L4181" t="s">
        <v>9915</v>
      </c>
      <c r="M4181" s="3" t="str">
        <f>HYPERLINK("..\..\Imagery\ScannedPhotos\1986\MN86-337.jpg")</f>
        <v>..\..\Imagery\ScannedPhotos\1986\MN86-337.jpg</v>
      </c>
    </row>
    <row r="4182" spans="1:13" x14ac:dyDescent="0.25">
      <c r="A4182" t="s">
        <v>9916</v>
      </c>
      <c r="B4182">
        <v>581474</v>
      </c>
      <c r="C4182">
        <v>5868837</v>
      </c>
      <c r="D4182">
        <v>21</v>
      </c>
      <c r="E4182" t="s">
        <v>15</v>
      </c>
      <c r="F4182" t="s">
        <v>9917</v>
      </c>
      <c r="G4182">
        <v>1</v>
      </c>
      <c r="H4182" t="s">
        <v>1851</v>
      </c>
      <c r="I4182" t="s">
        <v>108</v>
      </c>
      <c r="J4182" t="s">
        <v>1852</v>
      </c>
      <c r="K4182" t="s">
        <v>20</v>
      </c>
      <c r="L4182" t="s">
        <v>9918</v>
      </c>
      <c r="M4182" s="3" t="str">
        <f>HYPERLINK("..\..\Imagery\ScannedPhotos\1986\MN86-338.jpg")</f>
        <v>..\..\Imagery\ScannedPhotos\1986\MN86-338.jpg</v>
      </c>
    </row>
    <row r="4183" spans="1:13" x14ac:dyDescent="0.25">
      <c r="A4183" t="s">
        <v>9919</v>
      </c>
      <c r="B4183">
        <v>574520</v>
      </c>
      <c r="C4183">
        <v>5837217</v>
      </c>
      <c r="D4183">
        <v>21</v>
      </c>
      <c r="E4183" t="s">
        <v>15</v>
      </c>
      <c r="F4183" t="s">
        <v>9920</v>
      </c>
      <c r="G4183">
        <v>1</v>
      </c>
      <c r="H4183" t="s">
        <v>1851</v>
      </c>
      <c r="I4183" t="s">
        <v>129</v>
      </c>
      <c r="J4183" t="s">
        <v>1852</v>
      </c>
      <c r="K4183" t="s">
        <v>20</v>
      </c>
      <c r="L4183" t="s">
        <v>9921</v>
      </c>
      <c r="M4183" s="3" t="str">
        <f>HYPERLINK("..\..\Imagery\ScannedPhotos\1986\MN86-346.jpg")</f>
        <v>..\..\Imagery\ScannedPhotos\1986\MN86-346.jpg</v>
      </c>
    </row>
    <row r="4184" spans="1:13" x14ac:dyDescent="0.25">
      <c r="A4184" t="s">
        <v>9922</v>
      </c>
      <c r="B4184">
        <v>574976</v>
      </c>
      <c r="C4184">
        <v>5837480</v>
      </c>
      <c r="D4184">
        <v>21</v>
      </c>
      <c r="E4184" t="s">
        <v>15</v>
      </c>
      <c r="F4184" t="s">
        <v>9923</v>
      </c>
      <c r="G4184">
        <v>1</v>
      </c>
      <c r="H4184" t="s">
        <v>1851</v>
      </c>
      <c r="I4184" t="s">
        <v>147</v>
      </c>
      <c r="J4184" t="s">
        <v>1852</v>
      </c>
      <c r="K4184" t="s">
        <v>20</v>
      </c>
      <c r="L4184" t="s">
        <v>9924</v>
      </c>
      <c r="M4184" s="3" t="str">
        <f>HYPERLINK("..\..\Imagery\ScannedPhotos\1986\MN86-347.jpg")</f>
        <v>..\..\Imagery\ScannedPhotos\1986\MN86-347.jpg</v>
      </c>
    </row>
    <row r="4185" spans="1:13" x14ac:dyDescent="0.25">
      <c r="A4185" t="s">
        <v>4908</v>
      </c>
      <c r="B4185">
        <v>448199</v>
      </c>
      <c r="C4185">
        <v>5897356</v>
      </c>
      <c r="D4185">
        <v>21</v>
      </c>
      <c r="E4185" t="s">
        <v>15</v>
      </c>
      <c r="F4185" t="s">
        <v>9925</v>
      </c>
      <c r="G4185">
        <v>3</v>
      </c>
      <c r="H4185" t="s">
        <v>632</v>
      </c>
      <c r="I4185" t="s">
        <v>47</v>
      </c>
      <c r="J4185" t="s">
        <v>633</v>
      </c>
      <c r="K4185" t="s">
        <v>56</v>
      </c>
      <c r="L4185" t="s">
        <v>4910</v>
      </c>
      <c r="M4185" s="3" t="str">
        <f>HYPERLINK("..\..\Imagery\ScannedPhotos\1977\MC77-150.1.jpg")</f>
        <v>..\..\Imagery\ScannedPhotos\1977\MC77-150.1.jpg</v>
      </c>
    </row>
    <row r="4186" spans="1:13" x14ac:dyDescent="0.25">
      <c r="A4186" t="s">
        <v>9586</v>
      </c>
      <c r="B4186">
        <v>405328</v>
      </c>
      <c r="C4186">
        <v>5911514</v>
      </c>
      <c r="D4186">
        <v>21</v>
      </c>
      <c r="E4186" t="s">
        <v>15</v>
      </c>
      <c r="F4186" t="s">
        <v>9926</v>
      </c>
      <c r="G4186">
        <v>8</v>
      </c>
      <c r="H4186" t="s">
        <v>754</v>
      </c>
      <c r="I4186" t="s">
        <v>647</v>
      </c>
      <c r="J4186" t="s">
        <v>563</v>
      </c>
      <c r="K4186" t="s">
        <v>20</v>
      </c>
      <c r="L4186" t="s">
        <v>9927</v>
      </c>
      <c r="M4186" s="3" t="str">
        <f>HYPERLINK("..\..\Imagery\ScannedPhotos\1995\CG95-096.1.jpg")</f>
        <v>..\..\Imagery\ScannedPhotos\1995\CG95-096.1.jpg</v>
      </c>
    </row>
    <row r="4187" spans="1:13" x14ac:dyDescent="0.25">
      <c r="A4187" t="s">
        <v>9586</v>
      </c>
      <c r="B4187">
        <v>405328</v>
      </c>
      <c r="C4187">
        <v>5911514</v>
      </c>
      <c r="D4187">
        <v>21</v>
      </c>
      <c r="E4187" t="s">
        <v>15</v>
      </c>
      <c r="F4187" t="s">
        <v>9928</v>
      </c>
      <c r="G4187">
        <v>8</v>
      </c>
      <c r="H4187" t="s">
        <v>556</v>
      </c>
      <c r="I4187" t="s">
        <v>217</v>
      </c>
      <c r="J4187" t="s">
        <v>557</v>
      </c>
      <c r="K4187" t="s">
        <v>20</v>
      </c>
      <c r="L4187" t="s">
        <v>9927</v>
      </c>
      <c r="M4187" s="3" t="str">
        <f>HYPERLINK("..\..\Imagery\ScannedPhotos\1995\CG95-096.3.jpg")</f>
        <v>..\..\Imagery\ScannedPhotos\1995\CG95-096.3.jpg</v>
      </c>
    </row>
    <row r="4188" spans="1:13" x14ac:dyDescent="0.25">
      <c r="A4188" t="s">
        <v>9586</v>
      </c>
      <c r="B4188">
        <v>405328</v>
      </c>
      <c r="C4188">
        <v>5911514</v>
      </c>
      <c r="D4188">
        <v>21</v>
      </c>
      <c r="E4188" t="s">
        <v>15</v>
      </c>
      <c r="F4188" t="s">
        <v>9929</v>
      </c>
      <c r="G4188">
        <v>8</v>
      </c>
      <c r="H4188" t="s">
        <v>556</v>
      </c>
      <c r="I4188" t="s">
        <v>214</v>
      </c>
      <c r="J4188" t="s">
        <v>557</v>
      </c>
      <c r="K4188" t="s">
        <v>20</v>
      </c>
      <c r="L4188" t="s">
        <v>9930</v>
      </c>
      <c r="M4188" s="3" t="str">
        <f>HYPERLINK("..\..\Imagery\ScannedPhotos\1995\CG95-096.4.jpg")</f>
        <v>..\..\Imagery\ScannedPhotos\1995\CG95-096.4.jpg</v>
      </c>
    </row>
    <row r="4189" spans="1:13" x14ac:dyDescent="0.25">
      <c r="A4189" t="s">
        <v>4074</v>
      </c>
      <c r="B4189">
        <v>445850</v>
      </c>
      <c r="C4189">
        <v>5771550</v>
      </c>
      <c r="D4189">
        <v>21</v>
      </c>
      <c r="E4189" t="s">
        <v>15</v>
      </c>
      <c r="F4189" t="s">
        <v>9931</v>
      </c>
      <c r="G4189">
        <v>15</v>
      </c>
      <c r="H4189" t="s">
        <v>4076</v>
      </c>
      <c r="I4189" t="s">
        <v>132</v>
      </c>
      <c r="J4189" t="s">
        <v>747</v>
      </c>
      <c r="K4189" t="s">
        <v>56</v>
      </c>
      <c r="L4189" t="s">
        <v>9932</v>
      </c>
      <c r="M4189" s="3" t="str">
        <f>HYPERLINK("..\..\Imagery\ScannedPhotos\1992\VN92-197.7.jpg")</f>
        <v>..\..\Imagery\ScannedPhotos\1992\VN92-197.7.jpg</v>
      </c>
    </row>
    <row r="4190" spans="1:13" x14ac:dyDescent="0.25">
      <c r="A4190" t="s">
        <v>4074</v>
      </c>
      <c r="B4190">
        <v>445850</v>
      </c>
      <c r="C4190">
        <v>5771550</v>
      </c>
      <c r="D4190">
        <v>21</v>
      </c>
      <c r="E4190" t="s">
        <v>15</v>
      </c>
      <c r="F4190" t="s">
        <v>9933</v>
      </c>
      <c r="G4190">
        <v>15</v>
      </c>
      <c r="H4190" t="s">
        <v>4076</v>
      </c>
      <c r="I4190" t="s">
        <v>147</v>
      </c>
      <c r="J4190" t="s">
        <v>905</v>
      </c>
      <c r="K4190" t="s">
        <v>20</v>
      </c>
      <c r="L4190" t="s">
        <v>9934</v>
      </c>
      <c r="M4190" s="3" t="str">
        <f>HYPERLINK("..\..\Imagery\ScannedPhotos\1992\VN92-197.10.jpg")</f>
        <v>..\..\Imagery\ScannedPhotos\1992\VN92-197.10.jpg</v>
      </c>
    </row>
    <row r="4191" spans="1:13" x14ac:dyDescent="0.25">
      <c r="A4191" t="s">
        <v>4074</v>
      </c>
      <c r="B4191">
        <v>445850</v>
      </c>
      <c r="C4191">
        <v>5771550</v>
      </c>
      <c r="D4191">
        <v>21</v>
      </c>
      <c r="E4191" t="s">
        <v>15</v>
      </c>
      <c r="F4191" t="s">
        <v>9935</v>
      </c>
      <c r="G4191">
        <v>15</v>
      </c>
      <c r="H4191" t="s">
        <v>4076</v>
      </c>
      <c r="I4191" t="s">
        <v>143</v>
      </c>
      <c r="J4191" t="s">
        <v>905</v>
      </c>
      <c r="K4191" t="s">
        <v>20</v>
      </c>
      <c r="L4191" t="s">
        <v>9936</v>
      </c>
      <c r="M4191" s="3" t="str">
        <f>HYPERLINK("..\..\Imagery\ScannedPhotos\1992\VN92-197.9.jpg")</f>
        <v>..\..\Imagery\ScannedPhotos\1992\VN92-197.9.jpg</v>
      </c>
    </row>
    <row r="4192" spans="1:13" x14ac:dyDescent="0.25">
      <c r="A4192" t="s">
        <v>4074</v>
      </c>
      <c r="B4192">
        <v>445850</v>
      </c>
      <c r="C4192">
        <v>5771550</v>
      </c>
      <c r="D4192">
        <v>21</v>
      </c>
      <c r="E4192" t="s">
        <v>15</v>
      </c>
      <c r="F4192" t="s">
        <v>9937</v>
      </c>
      <c r="G4192">
        <v>15</v>
      </c>
      <c r="H4192" t="s">
        <v>4076</v>
      </c>
      <c r="I4192" t="s">
        <v>65</v>
      </c>
      <c r="J4192" t="s">
        <v>905</v>
      </c>
      <c r="K4192" t="s">
        <v>56</v>
      </c>
      <c r="L4192" t="s">
        <v>9938</v>
      </c>
      <c r="M4192" s="3" t="str">
        <f>HYPERLINK("..\..\Imagery\ScannedPhotos\1992\VN92-197.13.jpg")</f>
        <v>..\..\Imagery\ScannedPhotos\1992\VN92-197.13.jpg</v>
      </c>
    </row>
    <row r="4193" spans="1:13" x14ac:dyDescent="0.25">
      <c r="A4193" t="s">
        <v>9158</v>
      </c>
      <c r="B4193">
        <v>449547</v>
      </c>
      <c r="C4193">
        <v>5897462</v>
      </c>
      <c r="D4193">
        <v>21</v>
      </c>
      <c r="E4193" t="s">
        <v>15</v>
      </c>
      <c r="F4193" t="s">
        <v>9939</v>
      </c>
      <c r="G4193">
        <v>3</v>
      </c>
      <c r="H4193" t="s">
        <v>5461</v>
      </c>
      <c r="I4193" t="s">
        <v>18</v>
      </c>
      <c r="J4193" t="s">
        <v>2247</v>
      </c>
      <c r="K4193" t="s">
        <v>56</v>
      </c>
      <c r="L4193" t="s">
        <v>9160</v>
      </c>
      <c r="M4193" s="3" t="str">
        <f>HYPERLINK("..\..\Imagery\ScannedPhotos\1984\NN84-296.2.jpg")</f>
        <v>..\..\Imagery\ScannedPhotos\1984\NN84-296.2.jpg</v>
      </c>
    </row>
    <row r="4194" spans="1:13" x14ac:dyDescent="0.25">
      <c r="A4194" t="s">
        <v>9158</v>
      </c>
      <c r="B4194">
        <v>449547</v>
      </c>
      <c r="C4194">
        <v>5897462</v>
      </c>
      <c r="D4194">
        <v>21</v>
      </c>
      <c r="E4194" t="s">
        <v>15</v>
      </c>
      <c r="F4194" t="s">
        <v>9940</v>
      </c>
      <c r="G4194">
        <v>3</v>
      </c>
      <c r="H4194" t="s">
        <v>5461</v>
      </c>
      <c r="I4194" t="s">
        <v>137</v>
      </c>
      <c r="J4194" t="s">
        <v>2247</v>
      </c>
      <c r="K4194" t="s">
        <v>56</v>
      </c>
      <c r="L4194" t="s">
        <v>9941</v>
      </c>
      <c r="M4194" s="3" t="str">
        <f>HYPERLINK("..\..\Imagery\ScannedPhotos\1984\NN84-296.1.jpg")</f>
        <v>..\..\Imagery\ScannedPhotos\1984\NN84-296.1.jpg</v>
      </c>
    </row>
    <row r="4195" spans="1:13" x14ac:dyDescent="0.25">
      <c r="A4195" t="s">
        <v>9942</v>
      </c>
      <c r="B4195">
        <v>596482</v>
      </c>
      <c r="C4195">
        <v>5792454</v>
      </c>
      <c r="D4195">
        <v>21</v>
      </c>
      <c r="E4195" t="s">
        <v>15</v>
      </c>
      <c r="F4195" t="s">
        <v>9943</v>
      </c>
      <c r="G4195">
        <v>3</v>
      </c>
      <c r="K4195" t="s">
        <v>228</v>
      </c>
      <c r="L4195" t="s">
        <v>9944</v>
      </c>
      <c r="M4195" s="3" t="str">
        <f>HYPERLINK("..\..\Imagery\ScannedPhotos\2007\CG07-196.3.jpg")</f>
        <v>..\..\Imagery\ScannedPhotos\2007\CG07-196.3.jpg</v>
      </c>
    </row>
    <row r="4196" spans="1:13" x14ac:dyDescent="0.25">
      <c r="A4196" t="s">
        <v>9945</v>
      </c>
      <c r="B4196">
        <v>391362</v>
      </c>
      <c r="C4196">
        <v>5834341</v>
      </c>
      <c r="D4196">
        <v>21</v>
      </c>
      <c r="E4196" t="s">
        <v>15</v>
      </c>
      <c r="F4196" t="s">
        <v>9946</v>
      </c>
      <c r="G4196">
        <v>1</v>
      </c>
      <c r="K4196" t="s">
        <v>228</v>
      </c>
      <c r="L4196" t="s">
        <v>9947</v>
      </c>
      <c r="M4196" s="3" t="str">
        <f>HYPERLINK("..\..\Imagery\ScannedPhotos\2008\CG08-046.jpg")</f>
        <v>..\..\Imagery\ScannedPhotos\2008\CG08-046.jpg</v>
      </c>
    </row>
    <row r="4197" spans="1:13" x14ac:dyDescent="0.25">
      <c r="A4197" t="s">
        <v>9948</v>
      </c>
      <c r="B4197">
        <v>494450</v>
      </c>
      <c r="C4197">
        <v>5867425</v>
      </c>
      <c r="D4197">
        <v>21</v>
      </c>
      <c r="E4197" t="s">
        <v>15</v>
      </c>
      <c r="F4197" t="s">
        <v>9949</v>
      </c>
      <c r="G4197">
        <v>2</v>
      </c>
      <c r="H4197" t="s">
        <v>3569</v>
      </c>
      <c r="I4197" t="s">
        <v>281</v>
      </c>
      <c r="J4197" t="s">
        <v>850</v>
      </c>
      <c r="K4197" t="s">
        <v>20</v>
      </c>
      <c r="L4197" t="s">
        <v>9950</v>
      </c>
      <c r="M4197" s="3" t="str">
        <f>HYPERLINK("..\..\Imagery\ScannedPhotos\1991\VN91-049.2.jpg")</f>
        <v>..\..\Imagery\ScannedPhotos\1991\VN91-049.2.jpg</v>
      </c>
    </row>
    <row r="4198" spans="1:13" x14ac:dyDescent="0.25">
      <c r="A4198" t="s">
        <v>9951</v>
      </c>
      <c r="B4198">
        <v>583222</v>
      </c>
      <c r="C4198">
        <v>5881627</v>
      </c>
      <c r="D4198">
        <v>21</v>
      </c>
      <c r="E4198" t="s">
        <v>15</v>
      </c>
      <c r="F4198" t="s">
        <v>9952</v>
      </c>
      <c r="G4198">
        <v>5</v>
      </c>
      <c r="H4198" t="s">
        <v>627</v>
      </c>
      <c r="I4198" t="s">
        <v>304</v>
      </c>
      <c r="J4198" t="s">
        <v>628</v>
      </c>
      <c r="K4198" t="s">
        <v>20</v>
      </c>
      <c r="L4198" t="s">
        <v>3399</v>
      </c>
      <c r="M4198" s="3" t="str">
        <f>HYPERLINK("..\..\Imagery\ScannedPhotos\1985\VN85-495.1.jpg")</f>
        <v>..\..\Imagery\ScannedPhotos\1985\VN85-495.1.jpg</v>
      </c>
    </row>
    <row r="4199" spans="1:13" x14ac:dyDescent="0.25">
      <c r="A4199" t="s">
        <v>9951</v>
      </c>
      <c r="B4199">
        <v>583222</v>
      </c>
      <c r="C4199">
        <v>5881627</v>
      </c>
      <c r="D4199">
        <v>21</v>
      </c>
      <c r="E4199" t="s">
        <v>15</v>
      </c>
      <c r="F4199" t="s">
        <v>9953</v>
      </c>
      <c r="G4199">
        <v>5</v>
      </c>
      <c r="H4199" t="s">
        <v>1462</v>
      </c>
      <c r="I4199" t="s">
        <v>25</v>
      </c>
      <c r="J4199" t="s">
        <v>1463</v>
      </c>
      <c r="K4199" t="s">
        <v>20</v>
      </c>
      <c r="L4199" t="s">
        <v>9954</v>
      </c>
      <c r="M4199" s="3" t="str">
        <f>HYPERLINK("..\..\Imagery\ScannedPhotos\1985\VN85-495.3.jpg")</f>
        <v>..\..\Imagery\ScannedPhotos\1985\VN85-495.3.jpg</v>
      </c>
    </row>
    <row r="4200" spans="1:13" x14ac:dyDescent="0.25">
      <c r="A4200" t="s">
        <v>4804</v>
      </c>
      <c r="B4200">
        <v>535160</v>
      </c>
      <c r="C4200">
        <v>5733190</v>
      </c>
      <c r="D4200">
        <v>21</v>
      </c>
      <c r="E4200" t="s">
        <v>15</v>
      </c>
      <c r="F4200" t="s">
        <v>9955</v>
      </c>
      <c r="G4200">
        <v>8</v>
      </c>
      <c r="H4200" t="s">
        <v>2355</v>
      </c>
      <c r="I4200" t="s">
        <v>69</v>
      </c>
      <c r="J4200" t="s">
        <v>886</v>
      </c>
      <c r="K4200" t="s">
        <v>20</v>
      </c>
      <c r="L4200" t="s">
        <v>7008</v>
      </c>
      <c r="M4200" s="3" t="str">
        <f>HYPERLINK("..\..\Imagery\ScannedPhotos\1993\VN93-048.1.jpg")</f>
        <v>..\..\Imagery\ScannedPhotos\1993\VN93-048.1.jpg</v>
      </c>
    </row>
    <row r="4201" spans="1:13" x14ac:dyDescent="0.25">
      <c r="A4201" t="s">
        <v>4804</v>
      </c>
      <c r="B4201">
        <v>535160</v>
      </c>
      <c r="C4201">
        <v>5733190</v>
      </c>
      <c r="D4201">
        <v>21</v>
      </c>
      <c r="E4201" t="s">
        <v>15</v>
      </c>
      <c r="F4201" t="s">
        <v>9956</v>
      </c>
      <c r="G4201">
        <v>8</v>
      </c>
      <c r="H4201" t="s">
        <v>2355</v>
      </c>
      <c r="I4201" t="s">
        <v>85</v>
      </c>
      <c r="J4201" t="s">
        <v>886</v>
      </c>
      <c r="K4201" t="s">
        <v>20</v>
      </c>
      <c r="L4201" t="s">
        <v>9957</v>
      </c>
      <c r="M4201" s="3" t="str">
        <f>HYPERLINK("..\..\Imagery\ScannedPhotos\1993\VN93-048.4.jpg")</f>
        <v>..\..\Imagery\ScannedPhotos\1993\VN93-048.4.jpg</v>
      </c>
    </row>
    <row r="4202" spans="1:13" x14ac:dyDescent="0.25">
      <c r="A4202" t="s">
        <v>4804</v>
      </c>
      <c r="B4202">
        <v>535160</v>
      </c>
      <c r="C4202">
        <v>5733190</v>
      </c>
      <c r="D4202">
        <v>21</v>
      </c>
      <c r="E4202" t="s">
        <v>15</v>
      </c>
      <c r="F4202" t="s">
        <v>9958</v>
      </c>
      <c r="G4202">
        <v>8</v>
      </c>
      <c r="H4202" t="s">
        <v>2355</v>
      </c>
      <c r="I4202" t="s">
        <v>375</v>
      </c>
      <c r="J4202" t="s">
        <v>886</v>
      </c>
      <c r="K4202" t="s">
        <v>56</v>
      </c>
      <c r="L4202" t="s">
        <v>9959</v>
      </c>
      <c r="M4202" s="3" t="str">
        <f>HYPERLINK("..\..\Imagery\ScannedPhotos\1993\VN93-048.5.jpg")</f>
        <v>..\..\Imagery\ScannedPhotos\1993\VN93-048.5.jpg</v>
      </c>
    </row>
    <row r="4203" spans="1:13" x14ac:dyDescent="0.25">
      <c r="A4203" t="s">
        <v>4804</v>
      </c>
      <c r="B4203">
        <v>535160</v>
      </c>
      <c r="C4203">
        <v>5733190</v>
      </c>
      <c r="D4203">
        <v>21</v>
      </c>
      <c r="E4203" t="s">
        <v>15</v>
      </c>
      <c r="F4203" t="s">
        <v>9960</v>
      </c>
      <c r="G4203">
        <v>8</v>
      </c>
      <c r="H4203" t="s">
        <v>2355</v>
      </c>
      <c r="I4203" t="s">
        <v>94</v>
      </c>
      <c r="J4203" t="s">
        <v>886</v>
      </c>
      <c r="K4203" t="s">
        <v>20</v>
      </c>
      <c r="L4203" t="s">
        <v>9961</v>
      </c>
      <c r="M4203" s="3" t="str">
        <f>HYPERLINK("..\..\Imagery\ScannedPhotos\1993\VN93-048.6.jpg")</f>
        <v>..\..\Imagery\ScannedPhotos\1993\VN93-048.6.jpg</v>
      </c>
    </row>
    <row r="4204" spans="1:13" x14ac:dyDescent="0.25">
      <c r="A4204" t="s">
        <v>9962</v>
      </c>
      <c r="B4204">
        <v>531736</v>
      </c>
      <c r="C4204">
        <v>5951171</v>
      </c>
      <c r="D4204">
        <v>21</v>
      </c>
      <c r="E4204" t="s">
        <v>15</v>
      </c>
      <c r="F4204" t="s">
        <v>9963</v>
      </c>
      <c r="G4204">
        <v>1</v>
      </c>
      <c r="H4204" t="s">
        <v>221</v>
      </c>
      <c r="I4204" t="s">
        <v>114</v>
      </c>
      <c r="J4204" t="s">
        <v>48</v>
      </c>
      <c r="K4204" t="s">
        <v>20</v>
      </c>
      <c r="L4204" t="s">
        <v>9964</v>
      </c>
      <c r="M4204" s="3" t="str">
        <f>HYPERLINK("..\..\Imagery\ScannedPhotos\1981\CG81-366.jpg")</f>
        <v>..\..\Imagery\ScannedPhotos\1981\CG81-366.jpg</v>
      </c>
    </row>
    <row r="4205" spans="1:13" x14ac:dyDescent="0.25">
      <c r="A4205" t="s">
        <v>9965</v>
      </c>
      <c r="B4205">
        <v>529726</v>
      </c>
      <c r="C4205">
        <v>5950195</v>
      </c>
      <c r="D4205">
        <v>21</v>
      </c>
      <c r="E4205" t="s">
        <v>15</v>
      </c>
      <c r="F4205" t="s">
        <v>9966</v>
      </c>
      <c r="G4205">
        <v>1</v>
      </c>
      <c r="H4205" t="s">
        <v>221</v>
      </c>
      <c r="I4205" t="s">
        <v>119</v>
      </c>
      <c r="J4205" t="s">
        <v>48</v>
      </c>
      <c r="K4205" t="s">
        <v>535</v>
      </c>
      <c r="L4205" t="s">
        <v>9967</v>
      </c>
      <c r="M4205" s="3" t="str">
        <f>HYPERLINK("..\..\Imagery\ScannedPhotos\1981\CG81-370.jpg")</f>
        <v>..\..\Imagery\ScannedPhotos\1981\CG81-370.jpg</v>
      </c>
    </row>
    <row r="4206" spans="1:13" x14ac:dyDescent="0.25">
      <c r="A4206" t="s">
        <v>9968</v>
      </c>
      <c r="B4206">
        <v>528990</v>
      </c>
      <c r="C4206">
        <v>5950115</v>
      </c>
      <c r="D4206">
        <v>21</v>
      </c>
      <c r="E4206" t="s">
        <v>15</v>
      </c>
      <c r="F4206" t="s">
        <v>9969</v>
      </c>
      <c r="G4206">
        <v>1</v>
      </c>
      <c r="H4206" t="s">
        <v>221</v>
      </c>
      <c r="I4206" t="s">
        <v>126</v>
      </c>
      <c r="J4206" t="s">
        <v>48</v>
      </c>
      <c r="K4206" t="s">
        <v>535</v>
      </c>
      <c r="L4206" t="s">
        <v>9970</v>
      </c>
      <c r="M4206" s="3" t="str">
        <f>HYPERLINK("..\..\Imagery\ScannedPhotos\1981\CG81-378.2.jpg")</f>
        <v>..\..\Imagery\ScannedPhotos\1981\CG81-378.2.jpg</v>
      </c>
    </row>
    <row r="4207" spans="1:13" x14ac:dyDescent="0.25">
      <c r="A4207" t="s">
        <v>9968</v>
      </c>
      <c r="B4207">
        <v>528990</v>
      </c>
      <c r="C4207">
        <v>5950115</v>
      </c>
      <c r="D4207">
        <v>21</v>
      </c>
      <c r="E4207" t="s">
        <v>15</v>
      </c>
      <c r="F4207" t="s">
        <v>9971</v>
      </c>
      <c r="G4207">
        <v>1</v>
      </c>
      <c r="H4207" t="s">
        <v>221</v>
      </c>
      <c r="I4207" t="s">
        <v>122</v>
      </c>
      <c r="J4207" t="s">
        <v>48</v>
      </c>
      <c r="K4207" t="s">
        <v>535</v>
      </c>
      <c r="L4207" t="s">
        <v>9972</v>
      </c>
      <c r="M4207" s="3" t="str">
        <f>HYPERLINK("..\..\Imagery\ScannedPhotos\1981\CG81-378.1.jpg")</f>
        <v>..\..\Imagery\ScannedPhotos\1981\CG81-378.1.jpg</v>
      </c>
    </row>
    <row r="4208" spans="1:13" x14ac:dyDescent="0.25">
      <c r="A4208" t="s">
        <v>4300</v>
      </c>
      <c r="B4208">
        <v>448815</v>
      </c>
      <c r="C4208">
        <v>6021676</v>
      </c>
      <c r="D4208">
        <v>21</v>
      </c>
      <c r="E4208" t="s">
        <v>15</v>
      </c>
      <c r="F4208" t="s">
        <v>9973</v>
      </c>
      <c r="G4208">
        <v>2</v>
      </c>
      <c r="H4208" t="s">
        <v>1862</v>
      </c>
      <c r="I4208" t="s">
        <v>122</v>
      </c>
      <c r="J4208" t="s">
        <v>1863</v>
      </c>
      <c r="K4208" t="s">
        <v>20</v>
      </c>
      <c r="L4208" t="s">
        <v>9974</v>
      </c>
      <c r="M4208" s="3" t="str">
        <f>HYPERLINK("..\..\Imagery\ScannedPhotos\1979\CG79-799.1.jpg")</f>
        <v>..\..\Imagery\ScannedPhotos\1979\CG79-799.1.jpg</v>
      </c>
    </row>
    <row r="4209" spans="1:13" x14ac:dyDescent="0.25">
      <c r="A4209" t="s">
        <v>9975</v>
      </c>
      <c r="B4209">
        <v>449651</v>
      </c>
      <c r="C4209">
        <v>6021756</v>
      </c>
      <c r="D4209">
        <v>21</v>
      </c>
      <c r="E4209" t="s">
        <v>15</v>
      </c>
      <c r="F4209" t="s">
        <v>9976</v>
      </c>
      <c r="G4209">
        <v>1</v>
      </c>
      <c r="H4209" t="s">
        <v>1862</v>
      </c>
      <c r="I4209" t="s">
        <v>108</v>
      </c>
      <c r="J4209" t="s">
        <v>1863</v>
      </c>
      <c r="K4209" t="s">
        <v>20</v>
      </c>
      <c r="L4209" t="s">
        <v>4108</v>
      </c>
      <c r="M4209" s="3" t="str">
        <f>HYPERLINK("..\..\Imagery\ScannedPhotos\1979\CG79-800.jpg")</f>
        <v>..\..\Imagery\ScannedPhotos\1979\CG79-800.jpg</v>
      </c>
    </row>
    <row r="4210" spans="1:13" x14ac:dyDescent="0.25">
      <c r="A4210" t="s">
        <v>9977</v>
      </c>
      <c r="B4210">
        <v>596770</v>
      </c>
      <c r="C4210">
        <v>5792495</v>
      </c>
      <c r="D4210">
        <v>21</v>
      </c>
      <c r="E4210" t="s">
        <v>15</v>
      </c>
      <c r="F4210" t="s">
        <v>9978</v>
      </c>
      <c r="G4210">
        <v>2</v>
      </c>
      <c r="H4210" t="s">
        <v>1650</v>
      </c>
      <c r="I4210" t="s">
        <v>41</v>
      </c>
      <c r="J4210" t="s">
        <v>1651</v>
      </c>
      <c r="K4210" t="s">
        <v>20</v>
      </c>
      <c r="L4210" t="s">
        <v>9979</v>
      </c>
      <c r="M4210" s="3" t="str">
        <f>HYPERLINK("..\..\Imagery\ScannedPhotos\1987\CG87-489.2.jpg")</f>
        <v>..\..\Imagery\ScannedPhotos\1987\CG87-489.2.jpg</v>
      </c>
    </row>
    <row r="4211" spans="1:13" x14ac:dyDescent="0.25">
      <c r="A4211" t="s">
        <v>9980</v>
      </c>
      <c r="B4211">
        <v>510498</v>
      </c>
      <c r="C4211">
        <v>5709072</v>
      </c>
      <c r="D4211">
        <v>21</v>
      </c>
      <c r="E4211" t="s">
        <v>15</v>
      </c>
      <c r="F4211" t="s">
        <v>9981</v>
      </c>
      <c r="G4211">
        <v>2</v>
      </c>
      <c r="H4211" t="s">
        <v>1338</v>
      </c>
      <c r="I4211" t="s">
        <v>222</v>
      </c>
      <c r="J4211" t="s">
        <v>570</v>
      </c>
      <c r="K4211" t="s">
        <v>20</v>
      </c>
      <c r="L4211" t="s">
        <v>9982</v>
      </c>
      <c r="M4211" s="3" t="str">
        <f>HYPERLINK("..\..\Imagery\ScannedPhotos\1993\VN93-200.1.jpg")</f>
        <v>..\..\Imagery\ScannedPhotos\1993\VN93-200.1.jpg</v>
      </c>
    </row>
    <row r="4212" spans="1:13" x14ac:dyDescent="0.25">
      <c r="A4212" t="s">
        <v>9983</v>
      </c>
      <c r="B4212">
        <v>408131</v>
      </c>
      <c r="C4212">
        <v>5914605</v>
      </c>
      <c r="D4212">
        <v>21</v>
      </c>
      <c r="E4212" t="s">
        <v>15</v>
      </c>
      <c r="F4212" t="s">
        <v>9984</v>
      </c>
      <c r="G4212">
        <v>1</v>
      </c>
      <c r="H4212" t="s">
        <v>562</v>
      </c>
      <c r="I4212" t="s">
        <v>18</v>
      </c>
      <c r="J4212" t="s">
        <v>563</v>
      </c>
      <c r="K4212" t="s">
        <v>20</v>
      </c>
      <c r="L4212" t="s">
        <v>9985</v>
      </c>
      <c r="M4212" s="3" t="str">
        <f>HYPERLINK("..\..\Imagery\ScannedPhotos\1995\VN95-077.jpg")</f>
        <v>..\..\Imagery\ScannedPhotos\1995\VN95-077.jpg</v>
      </c>
    </row>
    <row r="4213" spans="1:13" x14ac:dyDescent="0.25">
      <c r="A4213" t="s">
        <v>6019</v>
      </c>
      <c r="B4213">
        <v>580312</v>
      </c>
      <c r="C4213">
        <v>5900130</v>
      </c>
      <c r="D4213">
        <v>21</v>
      </c>
      <c r="E4213" t="s">
        <v>15</v>
      </c>
      <c r="F4213" t="s">
        <v>9986</v>
      </c>
      <c r="G4213">
        <v>3</v>
      </c>
      <c r="H4213" t="s">
        <v>136</v>
      </c>
      <c r="I4213" t="s">
        <v>30</v>
      </c>
      <c r="J4213" t="s">
        <v>138</v>
      </c>
      <c r="K4213" t="s">
        <v>20</v>
      </c>
      <c r="L4213" t="s">
        <v>9987</v>
      </c>
      <c r="M4213" s="3" t="str">
        <f>HYPERLINK("..\..\Imagery\ScannedPhotos\1985\GM85-548.2.jpg")</f>
        <v>..\..\Imagery\ScannedPhotos\1985\GM85-548.2.jpg</v>
      </c>
    </row>
    <row r="4214" spans="1:13" x14ac:dyDescent="0.25">
      <c r="A4214" t="s">
        <v>9988</v>
      </c>
      <c r="B4214">
        <v>402283</v>
      </c>
      <c r="C4214">
        <v>5790239</v>
      </c>
      <c r="D4214">
        <v>21</v>
      </c>
      <c r="E4214" t="s">
        <v>15</v>
      </c>
      <c r="F4214" t="s">
        <v>9989</v>
      </c>
      <c r="G4214">
        <v>3</v>
      </c>
      <c r="H4214" t="s">
        <v>6227</v>
      </c>
      <c r="I4214" t="s">
        <v>143</v>
      </c>
      <c r="J4214" t="s">
        <v>6228</v>
      </c>
      <c r="K4214" t="s">
        <v>20</v>
      </c>
      <c r="L4214" t="s">
        <v>9990</v>
      </c>
      <c r="M4214" s="3" t="str">
        <f>HYPERLINK("..\..\Imagery\ScannedPhotos\1999\CG99-352.2.jpg")</f>
        <v>..\..\Imagery\ScannedPhotos\1999\CG99-352.2.jpg</v>
      </c>
    </row>
    <row r="4215" spans="1:13" x14ac:dyDescent="0.25">
      <c r="A4215" t="s">
        <v>9988</v>
      </c>
      <c r="B4215">
        <v>402283</v>
      </c>
      <c r="C4215">
        <v>5790239</v>
      </c>
      <c r="D4215">
        <v>21</v>
      </c>
      <c r="E4215" t="s">
        <v>15</v>
      </c>
      <c r="F4215" t="s">
        <v>9991</v>
      </c>
      <c r="G4215">
        <v>3</v>
      </c>
      <c r="H4215" t="s">
        <v>6227</v>
      </c>
      <c r="I4215" t="s">
        <v>129</v>
      </c>
      <c r="J4215" t="s">
        <v>6228</v>
      </c>
      <c r="K4215" t="s">
        <v>20</v>
      </c>
      <c r="L4215" t="s">
        <v>9992</v>
      </c>
      <c r="M4215" s="3" t="str">
        <f>HYPERLINK("..\..\Imagery\ScannedPhotos\1999\CG99-352.1.jpg")</f>
        <v>..\..\Imagery\ScannedPhotos\1999\CG99-352.1.jpg</v>
      </c>
    </row>
    <row r="4216" spans="1:13" x14ac:dyDescent="0.25">
      <c r="A4216" t="s">
        <v>9993</v>
      </c>
      <c r="B4216">
        <v>431914</v>
      </c>
      <c r="C4216">
        <v>6018626</v>
      </c>
      <c r="D4216">
        <v>21</v>
      </c>
      <c r="E4216" t="s">
        <v>15</v>
      </c>
      <c r="F4216" t="s">
        <v>9994</v>
      </c>
      <c r="G4216">
        <v>2</v>
      </c>
      <c r="H4216" t="s">
        <v>4104</v>
      </c>
      <c r="I4216" t="s">
        <v>41</v>
      </c>
      <c r="J4216" t="s">
        <v>4105</v>
      </c>
      <c r="K4216" t="s">
        <v>56</v>
      </c>
      <c r="L4216" t="s">
        <v>9995</v>
      </c>
      <c r="M4216" s="3" t="str">
        <f>HYPERLINK("..\..\Imagery\ScannedPhotos\1979\CG79-918.2.jpg")</f>
        <v>..\..\Imagery\ScannedPhotos\1979\CG79-918.2.jpg</v>
      </c>
    </row>
    <row r="4217" spans="1:13" x14ac:dyDescent="0.25">
      <c r="A4217" t="s">
        <v>9996</v>
      </c>
      <c r="B4217">
        <v>496728</v>
      </c>
      <c r="C4217">
        <v>5906939</v>
      </c>
      <c r="D4217">
        <v>21</v>
      </c>
      <c r="E4217" t="s">
        <v>15</v>
      </c>
      <c r="F4217" t="s">
        <v>9997</v>
      </c>
      <c r="G4217">
        <v>1</v>
      </c>
      <c r="H4217" t="s">
        <v>4058</v>
      </c>
      <c r="I4217" t="s">
        <v>18</v>
      </c>
      <c r="J4217" t="s">
        <v>2247</v>
      </c>
      <c r="K4217" t="s">
        <v>20</v>
      </c>
      <c r="L4217" t="s">
        <v>3229</v>
      </c>
      <c r="M4217" s="3" t="str">
        <f>HYPERLINK("..\..\Imagery\ScannedPhotos\1984\VN84-314.jpg")</f>
        <v>..\..\Imagery\ScannedPhotos\1984\VN84-314.jpg</v>
      </c>
    </row>
    <row r="4218" spans="1:13" x14ac:dyDescent="0.25">
      <c r="A4218" t="s">
        <v>9998</v>
      </c>
      <c r="B4218">
        <v>488636</v>
      </c>
      <c r="C4218">
        <v>5916084</v>
      </c>
      <c r="D4218">
        <v>21</v>
      </c>
      <c r="E4218" t="s">
        <v>15</v>
      </c>
      <c r="F4218" t="s">
        <v>9999</v>
      </c>
      <c r="G4218">
        <v>1</v>
      </c>
      <c r="H4218" t="s">
        <v>4058</v>
      </c>
      <c r="I4218" t="s">
        <v>94</v>
      </c>
      <c r="J4218" t="s">
        <v>2247</v>
      </c>
      <c r="K4218" t="s">
        <v>20</v>
      </c>
      <c r="L4218" t="s">
        <v>10000</v>
      </c>
      <c r="M4218" s="3" t="str">
        <f>HYPERLINK("..\..\Imagery\ScannedPhotos\1984\VN84-337.jpg")</f>
        <v>..\..\Imagery\ScannedPhotos\1984\VN84-337.jpg</v>
      </c>
    </row>
    <row r="4219" spans="1:13" x14ac:dyDescent="0.25">
      <c r="A4219" t="s">
        <v>10001</v>
      </c>
      <c r="B4219">
        <v>453639</v>
      </c>
      <c r="C4219">
        <v>5868752</v>
      </c>
      <c r="D4219">
        <v>21</v>
      </c>
      <c r="E4219" t="s">
        <v>15</v>
      </c>
      <c r="F4219" t="s">
        <v>10002</v>
      </c>
      <c r="G4219">
        <v>2</v>
      </c>
      <c r="H4219" t="s">
        <v>1048</v>
      </c>
      <c r="I4219" t="s">
        <v>94</v>
      </c>
      <c r="J4219" t="s">
        <v>1038</v>
      </c>
      <c r="K4219" t="s">
        <v>20</v>
      </c>
      <c r="L4219" t="s">
        <v>322</v>
      </c>
      <c r="M4219" s="3" t="str">
        <f>HYPERLINK("..\..\Imagery\ScannedPhotos\1991\DD91-131.1.jpg")</f>
        <v>..\..\Imagery\ScannedPhotos\1991\DD91-131.1.jpg</v>
      </c>
    </row>
    <row r="4220" spans="1:13" x14ac:dyDescent="0.25">
      <c r="A4220" t="s">
        <v>10001</v>
      </c>
      <c r="B4220">
        <v>453639</v>
      </c>
      <c r="C4220">
        <v>5868752</v>
      </c>
      <c r="D4220">
        <v>21</v>
      </c>
      <c r="E4220" t="s">
        <v>15</v>
      </c>
      <c r="F4220" t="s">
        <v>10003</v>
      </c>
      <c r="G4220">
        <v>2</v>
      </c>
      <c r="H4220" t="s">
        <v>1048</v>
      </c>
      <c r="I4220" t="s">
        <v>209</v>
      </c>
      <c r="J4220" t="s">
        <v>1038</v>
      </c>
      <c r="K4220" t="s">
        <v>20</v>
      </c>
      <c r="L4220" t="s">
        <v>322</v>
      </c>
      <c r="M4220" s="3" t="str">
        <f>HYPERLINK("..\..\Imagery\ScannedPhotos\1991\DD91-131.2.jpg")</f>
        <v>..\..\Imagery\ScannedPhotos\1991\DD91-131.2.jpg</v>
      </c>
    </row>
    <row r="4221" spans="1:13" x14ac:dyDescent="0.25">
      <c r="A4221" t="s">
        <v>10004</v>
      </c>
      <c r="B4221">
        <v>456850</v>
      </c>
      <c r="C4221">
        <v>5858125</v>
      </c>
      <c r="D4221">
        <v>21</v>
      </c>
      <c r="E4221" t="s">
        <v>15</v>
      </c>
      <c r="F4221" t="s">
        <v>10005</v>
      </c>
      <c r="G4221">
        <v>2</v>
      </c>
      <c r="H4221" t="s">
        <v>1048</v>
      </c>
      <c r="I4221" t="s">
        <v>217</v>
      </c>
      <c r="J4221" t="s">
        <v>1038</v>
      </c>
      <c r="K4221" t="s">
        <v>56</v>
      </c>
      <c r="L4221" t="s">
        <v>322</v>
      </c>
      <c r="M4221" s="3" t="str">
        <f>HYPERLINK("..\..\Imagery\ScannedPhotos\1991\DD91-136.2.jpg")</f>
        <v>..\..\Imagery\ScannedPhotos\1991\DD91-136.2.jpg</v>
      </c>
    </row>
    <row r="4222" spans="1:13" x14ac:dyDescent="0.25">
      <c r="A4222" t="s">
        <v>10006</v>
      </c>
      <c r="B4222">
        <v>493493</v>
      </c>
      <c r="C4222">
        <v>5942211</v>
      </c>
      <c r="D4222">
        <v>21</v>
      </c>
      <c r="E4222" t="s">
        <v>15</v>
      </c>
      <c r="F4222" t="s">
        <v>10007</v>
      </c>
      <c r="G4222">
        <v>1</v>
      </c>
      <c r="H4222" t="s">
        <v>46</v>
      </c>
      <c r="I4222" t="s">
        <v>214</v>
      </c>
      <c r="J4222" t="s">
        <v>48</v>
      </c>
      <c r="K4222" t="s">
        <v>20</v>
      </c>
      <c r="L4222" t="s">
        <v>10008</v>
      </c>
      <c r="M4222" s="3" t="str">
        <f>HYPERLINK("..\..\Imagery\ScannedPhotos\1981\GF81-041.jpg")</f>
        <v>..\..\Imagery\ScannedPhotos\1981\GF81-041.jpg</v>
      </c>
    </row>
    <row r="4223" spans="1:13" x14ac:dyDescent="0.25">
      <c r="A4223" t="s">
        <v>10009</v>
      </c>
      <c r="B4223">
        <v>559964</v>
      </c>
      <c r="C4223">
        <v>5808550</v>
      </c>
      <c r="D4223">
        <v>21</v>
      </c>
      <c r="E4223" t="s">
        <v>15</v>
      </c>
      <c r="F4223" t="s">
        <v>10010</v>
      </c>
      <c r="G4223">
        <v>2</v>
      </c>
      <c r="K4223" t="s">
        <v>56</v>
      </c>
      <c r="L4223" t="s">
        <v>10011</v>
      </c>
      <c r="M4223" s="3" t="str">
        <f>HYPERLINK("..\..\Imagery\ScannedPhotos\2003\CG03-185.1.jpg")</f>
        <v>..\..\Imagery\ScannedPhotos\2003\CG03-185.1.jpg</v>
      </c>
    </row>
    <row r="4224" spans="1:13" x14ac:dyDescent="0.25">
      <c r="A4224" t="s">
        <v>10009</v>
      </c>
      <c r="B4224">
        <v>559964</v>
      </c>
      <c r="C4224">
        <v>5808550</v>
      </c>
      <c r="D4224">
        <v>21</v>
      </c>
      <c r="E4224" t="s">
        <v>15</v>
      </c>
      <c r="F4224" t="s">
        <v>10012</v>
      </c>
      <c r="G4224">
        <v>2</v>
      </c>
      <c r="K4224" t="s">
        <v>56</v>
      </c>
      <c r="L4224" t="s">
        <v>10011</v>
      </c>
      <c r="M4224" s="3" t="str">
        <f>HYPERLINK("..\..\Imagery\ScannedPhotos\2003\CG03-185.2.jpg")</f>
        <v>..\..\Imagery\ScannedPhotos\2003\CG03-185.2.jpg</v>
      </c>
    </row>
    <row r="4225" spans="1:13" x14ac:dyDescent="0.25">
      <c r="A4225" t="s">
        <v>10013</v>
      </c>
      <c r="B4225">
        <v>559613</v>
      </c>
      <c r="C4225">
        <v>5808759</v>
      </c>
      <c r="D4225">
        <v>21</v>
      </c>
      <c r="E4225" t="s">
        <v>15</v>
      </c>
      <c r="F4225" t="s">
        <v>10014</v>
      </c>
      <c r="G4225">
        <v>1</v>
      </c>
      <c r="K4225" t="s">
        <v>56</v>
      </c>
      <c r="L4225" t="s">
        <v>10015</v>
      </c>
      <c r="M4225" s="3" t="str">
        <f>HYPERLINK("..\..\Imagery\ScannedPhotos\2003\CG03-186.jpg")</f>
        <v>..\..\Imagery\ScannedPhotos\2003\CG03-186.jpg</v>
      </c>
    </row>
    <row r="4226" spans="1:13" x14ac:dyDescent="0.25">
      <c r="A4226" t="s">
        <v>10016</v>
      </c>
      <c r="B4226">
        <v>558552</v>
      </c>
      <c r="C4226">
        <v>5809165</v>
      </c>
      <c r="D4226">
        <v>21</v>
      </c>
      <c r="E4226" t="s">
        <v>15</v>
      </c>
      <c r="F4226" t="s">
        <v>10017</v>
      </c>
      <c r="G4226">
        <v>2</v>
      </c>
      <c r="K4226" t="s">
        <v>56</v>
      </c>
      <c r="L4226" t="s">
        <v>9054</v>
      </c>
      <c r="M4226" s="3" t="str">
        <f>HYPERLINK("..\..\Imagery\ScannedPhotos\2003\CG03-189.1.jpg")</f>
        <v>..\..\Imagery\ScannedPhotos\2003\CG03-189.1.jpg</v>
      </c>
    </row>
    <row r="4227" spans="1:13" x14ac:dyDescent="0.25">
      <c r="A4227" t="s">
        <v>10016</v>
      </c>
      <c r="B4227">
        <v>558552</v>
      </c>
      <c r="C4227">
        <v>5809165</v>
      </c>
      <c r="D4227">
        <v>21</v>
      </c>
      <c r="E4227" t="s">
        <v>15</v>
      </c>
      <c r="F4227" t="s">
        <v>10018</v>
      </c>
      <c r="G4227">
        <v>2</v>
      </c>
      <c r="K4227" t="s">
        <v>20</v>
      </c>
      <c r="L4227" t="s">
        <v>9054</v>
      </c>
      <c r="M4227" s="3" t="str">
        <f>HYPERLINK("..\..\Imagery\ScannedPhotos\2003\CG03-189.2.jpg")</f>
        <v>..\..\Imagery\ScannedPhotos\2003\CG03-189.2.jpg</v>
      </c>
    </row>
    <row r="4228" spans="1:13" x14ac:dyDescent="0.25">
      <c r="A4228" t="s">
        <v>10019</v>
      </c>
      <c r="B4228">
        <v>510190</v>
      </c>
      <c r="C4228">
        <v>5709436</v>
      </c>
      <c r="D4228">
        <v>21</v>
      </c>
      <c r="E4228" t="s">
        <v>15</v>
      </c>
      <c r="F4228" t="s">
        <v>10020</v>
      </c>
      <c r="G4228">
        <v>2</v>
      </c>
      <c r="H4228" t="s">
        <v>1338</v>
      </c>
      <c r="I4228" t="s">
        <v>214</v>
      </c>
      <c r="J4228" t="s">
        <v>570</v>
      </c>
      <c r="K4228" t="s">
        <v>20</v>
      </c>
      <c r="L4228" t="s">
        <v>10021</v>
      </c>
      <c r="M4228" s="3" t="str">
        <f>HYPERLINK("..\..\Imagery\ScannedPhotos\1993\VN93-199.2.jpg")</f>
        <v>..\..\Imagery\ScannedPhotos\1993\VN93-199.2.jpg</v>
      </c>
    </row>
    <row r="4229" spans="1:13" x14ac:dyDescent="0.25">
      <c r="A4229" t="s">
        <v>10019</v>
      </c>
      <c r="B4229">
        <v>510190</v>
      </c>
      <c r="C4229">
        <v>5709436</v>
      </c>
      <c r="D4229">
        <v>21</v>
      </c>
      <c r="E4229" t="s">
        <v>15</v>
      </c>
      <c r="F4229" t="s">
        <v>10022</v>
      </c>
      <c r="G4229">
        <v>2</v>
      </c>
      <c r="H4229" t="s">
        <v>1338</v>
      </c>
      <c r="I4229" t="s">
        <v>217</v>
      </c>
      <c r="J4229" t="s">
        <v>570</v>
      </c>
      <c r="K4229" t="s">
        <v>20</v>
      </c>
      <c r="L4229" t="s">
        <v>10023</v>
      </c>
      <c r="M4229" s="3" t="str">
        <f>HYPERLINK("..\..\Imagery\ScannedPhotos\1993\VN93-199.1.jpg")</f>
        <v>..\..\Imagery\ScannedPhotos\1993\VN93-199.1.jpg</v>
      </c>
    </row>
    <row r="4230" spans="1:13" x14ac:dyDescent="0.25">
      <c r="A4230" t="s">
        <v>10024</v>
      </c>
      <c r="B4230">
        <v>396967</v>
      </c>
      <c r="C4230">
        <v>5992440</v>
      </c>
      <c r="D4230">
        <v>21</v>
      </c>
      <c r="E4230" t="s">
        <v>15</v>
      </c>
      <c r="F4230" t="s">
        <v>10025</v>
      </c>
      <c r="G4230">
        <v>1</v>
      </c>
      <c r="H4230" t="s">
        <v>1593</v>
      </c>
      <c r="I4230" t="s">
        <v>209</v>
      </c>
      <c r="J4230" t="s">
        <v>1594</v>
      </c>
      <c r="K4230" t="s">
        <v>20</v>
      </c>
      <c r="L4230" t="s">
        <v>10026</v>
      </c>
      <c r="M4230" s="3" t="str">
        <f>HYPERLINK("..\..\Imagery\ScannedPhotos\1980\NN80-012.jpg")</f>
        <v>..\..\Imagery\ScannedPhotos\1980\NN80-012.jpg</v>
      </c>
    </row>
    <row r="4231" spans="1:13" x14ac:dyDescent="0.25">
      <c r="A4231" t="s">
        <v>10027</v>
      </c>
      <c r="B4231">
        <v>397140</v>
      </c>
      <c r="C4231">
        <v>5992209</v>
      </c>
      <c r="D4231">
        <v>21</v>
      </c>
      <c r="E4231" t="s">
        <v>15</v>
      </c>
      <c r="F4231" t="s">
        <v>10028</v>
      </c>
      <c r="G4231">
        <v>1</v>
      </c>
      <c r="H4231" t="s">
        <v>1593</v>
      </c>
      <c r="I4231" t="s">
        <v>386</v>
      </c>
      <c r="J4231" t="s">
        <v>1594</v>
      </c>
      <c r="K4231" t="s">
        <v>20</v>
      </c>
      <c r="L4231" t="s">
        <v>10029</v>
      </c>
      <c r="M4231" s="3" t="str">
        <f>HYPERLINK("..\..\Imagery\ScannedPhotos\1980\NN80-014.jpg")</f>
        <v>..\..\Imagery\ScannedPhotos\1980\NN80-014.jpg</v>
      </c>
    </row>
    <row r="4232" spans="1:13" x14ac:dyDescent="0.25">
      <c r="A4232" t="s">
        <v>10030</v>
      </c>
      <c r="B4232">
        <v>397042</v>
      </c>
      <c r="C4232">
        <v>5992012</v>
      </c>
      <c r="D4232">
        <v>21</v>
      </c>
      <c r="E4232" t="s">
        <v>15</v>
      </c>
      <c r="F4232" t="s">
        <v>10031</v>
      </c>
      <c r="G4232">
        <v>1</v>
      </c>
      <c r="H4232" t="s">
        <v>1593</v>
      </c>
      <c r="I4232" t="s">
        <v>217</v>
      </c>
      <c r="J4232" t="s">
        <v>1594</v>
      </c>
      <c r="K4232" t="s">
        <v>20</v>
      </c>
      <c r="L4232" t="s">
        <v>10032</v>
      </c>
      <c r="M4232" s="3" t="str">
        <f>HYPERLINK("..\..\Imagery\ScannedPhotos\1980\NN80-015.jpg")</f>
        <v>..\..\Imagery\ScannedPhotos\1980\NN80-015.jpg</v>
      </c>
    </row>
    <row r="4233" spans="1:13" x14ac:dyDescent="0.25">
      <c r="A4233" t="s">
        <v>10033</v>
      </c>
      <c r="B4233">
        <v>578807</v>
      </c>
      <c r="C4233">
        <v>5852094</v>
      </c>
      <c r="D4233">
        <v>21</v>
      </c>
      <c r="E4233" t="s">
        <v>15</v>
      </c>
      <c r="F4233" t="s">
        <v>10034</v>
      </c>
      <c r="G4233">
        <v>1</v>
      </c>
      <c r="H4233" t="s">
        <v>2130</v>
      </c>
      <c r="I4233" t="s">
        <v>30</v>
      </c>
      <c r="J4233" t="s">
        <v>300</v>
      </c>
      <c r="K4233" t="s">
        <v>20</v>
      </c>
      <c r="L4233" t="s">
        <v>10035</v>
      </c>
      <c r="M4233" s="3" t="str">
        <f>HYPERLINK("..\..\Imagery\ScannedPhotos\1986\JS86-402.jpg")</f>
        <v>..\..\Imagery\ScannedPhotos\1986\JS86-402.jpg</v>
      </c>
    </row>
    <row r="4234" spans="1:13" x14ac:dyDescent="0.25">
      <c r="A4234" t="s">
        <v>3548</v>
      </c>
      <c r="B4234">
        <v>472050</v>
      </c>
      <c r="C4234">
        <v>5859375</v>
      </c>
      <c r="D4234">
        <v>21</v>
      </c>
      <c r="E4234" t="s">
        <v>15</v>
      </c>
      <c r="F4234" t="s">
        <v>10036</v>
      </c>
      <c r="G4234">
        <v>19</v>
      </c>
      <c r="H4234" t="s">
        <v>2719</v>
      </c>
      <c r="I4234" t="s">
        <v>195</v>
      </c>
      <c r="J4234" t="s">
        <v>891</v>
      </c>
      <c r="K4234" t="s">
        <v>56</v>
      </c>
      <c r="L4234" t="s">
        <v>3550</v>
      </c>
      <c r="M4234" s="3" t="str">
        <f>HYPERLINK("..\..\Imagery\ScannedPhotos\1991\VN91-264.13.jpg")</f>
        <v>..\..\Imagery\ScannedPhotos\1991\VN91-264.13.jpg</v>
      </c>
    </row>
    <row r="4235" spans="1:13" x14ac:dyDescent="0.25">
      <c r="A4235" t="s">
        <v>3548</v>
      </c>
      <c r="B4235">
        <v>472050</v>
      </c>
      <c r="C4235">
        <v>5859375</v>
      </c>
      <c r="D4235">
        <v>21</v>
      </c>
      <c r="E4235" t="s">
        <v>15</v>
      </c>
      <c r="F4235" t="s">
        <v>10037</v>
      </c>
      <c r="G4235">
        <v>19</v>
      </c>
      <c r="H4235" t="s">
        <v>2719</v>
      </c>
      <c r="I4235" t="s">
        <v>25</v>
      </c>
      <c r="J4235" t="s">
        <v>891</v>
      </c>
      <c r="K4235" t="s">
        <v>56</v>
      </c>
      <c r="L4235" t="s">
        <v>10038</v>
      </c>
      <c r="M4235" s="3" t="str">
        <f>HYPERLINK("..\..\Imagery\ScannedPhotos\1991\VN91-264.14.jpg")</f>
        <v>..\..\Imagery\ScannedPhotos\1991\VN91-264.14.jpg</v>
      </c>
    </row>
    <row r="4236" spans="1:13" x14ac:dyDescent="0.25">
      <c r="A4236" t="s">
        <v>9161</v>
      </c>
      <c r="B4236">
        <v>508183</v>
      </c>
      <c r="C4236">
        <v>5953415</v>
      </c>
      <c r="D4236">
        <v>21</v>
      </c>
      <c r="E4236" t="s">
        <v>15</v>
      </c>
      <c r="F4236" t="s">
        <v>10039</v>
      </c>
      <c r="G4236">
        <v>2</v>
      </c>
      <c r="H4236" t="s">
        <v>3587</v>
      </c>
      <c r="I4236" t="s">
        <v>217</v>
      </c>
      <c r="J4236" t="s">
        <v>3588</v>
      </c>
      <c r="K4236" t="s">
        <v>56</v>
      </c>
      <c r="L4236" t="s">
        <v>1020</v>
      </c>
      <c r="M4236" s="3" t="str">
        <f>HYPERLINK("..\..\Imagery\ScannedPhotos\1977\MC77-253.1.jpg")</f>
        <v>..\..\Imagery\ScannedPhotos\1977\MC77-253.1.jpg</v>
      </c>
    </row>
    <row r="4237" spans="1:13" x14ac:dyDescent="0.25">
      <c r="A4237" t="s">
        <v>10040</v>
      </c>
      <c r="B4237">
        <v>541092</v>
      </c>
      <c r="C4237">
        <v>5958189</v>
      </c>
      <c r="D4237">
        <v>21</v>
      </c>
      <c r="E4237" t="s">
        <v>15</v>
      </c>
      <c r="F4237" t="s">
        <v>10041</v>
      </c>
      <c r="G4237">
        <v>8</v>
      </c>
      <c r="H4237" t="s">
        <v>1480</v>
      </c>
      <c r="I4237" t="s">
        <v>85</v>
      </c>
      <c r="J4237" t="s">
        <v>48</v>
      </c>
      <c r="K4237" t="s">
        <v>20</v>
      </c>
      <c r="L4237" t="s">
        <v>733</v>
      </c>
      <c r="M4237" s="3" t="str">
        <f>HYPERLINK("..\..\Imagery\ScannedPhotos\1981\CG81-314.4.jpg")</f>
        <v>..\..\Imagery\ScannedPhotos\1981\CG81-314.4.jpg</v>
      </c>
    </row>
    <row r="4238" spans="1:13" x14ac:dyDescent="0.25">
      <c r="A4238" t="s">
        <v>10040</v>
      </c>
      <c r="B4238">
        <v>541092</v>
      </c>
      <c r="C4238">
        <v>5958189</v>
      </c>
      <c r="D4238">
        <v>21</v>
      </c>
      <c r="E4238" t="s">
        <v>15</v>
      </c>
      <c r="F4238" t="s">
        <v>10042</v>
      </c>
      <c r="G4238">
        <v>8</v>
      </c>
      <c r="H4238" t="s">
        <v>1405</v>
      </c>
      <c r="I4238" t="s">
        <v>85</v>
      </c>
      <c r="J4238" t="s">
        <v>48</v>
      </c>
      <c r="K4238" t="s">
        <v>935</v>
      </c>
      <c r="L4238" t="s">
        <v>10043</v>
      </c>
      <c r="M4238" s="3" t="str">
        <f>HYPERLINK("..\..\Imagery\ScannedPhotos\1981\CG81-314.1.jpg")</f>
        <v>..\..\Imagery\ScannedPhotos\1981\CG81-314.1.jpg</v>
      </c>
    </row>
    <row r="4239" spans="1:13" x14ac:dyDescent="0.25">
      <c r="A4239" t="s">
        <v>10040</v>
      </c>
      <c r="B4239">
        <v>541092</v>
      </c>
      <c r="C4239">
        <v>5958189</v>
      </c>
      <c r="D4239">
        <v>21</v>
      </c>
      <c r="E4239" t="s">
        <v>15</v>
      </c>
      <c r="F4239" t="s">
        <v>10044</v>
      </c>
      <c r="G4239">
        <v>8</v>
      </c>
      <c r="H4239" t="s">
        <v>1480</v>
      </c>
      <c r="I4239" t="s">
        <v>41</v>
      </c>
      <c r="J4239" t="s">
        <v>48</v>
      </c>
      <c r="K4239" t="s">
        <v>20</v>
      </c>
      <c r="L4239" t="s">
        <v>733</v>
      </c>
      <c r="M4239" s="3" t="str">
        <f>HYPERLINK("..\..\Imagery\ScannedPhotos\1981\CG81-314.3.jpg")</f>
        <v>..\..\Imagery\ScannedPhotos\1981\CG81-314.3.jpg</v>
      </c>
    </row>
    <row r="4240" spans="1:13" x14ac:dyDescent="0.25">
      <c r="A4240" t="s">
        <v>10045</v>
      </c>
      <c r="B4240">
        <v>541477</v>
      </c>
      <c r="C4240">
        <v>5957904</v>
      </c>
      <c r="D4240">
        <v>21</v>
      </c>
      <c r="E4240" t="s">
        <v>15</v>
      </c>
      <c r="F4240" t="s">
        <v>10046</v>
      </c>
      <c r="G4240">
        <v>1</v>
      </c>
      <c r="H4240" t="s">
        <v>221</v>
      </c>
      <c r="I4240" t="s">
        <v>137</v>
      </c>
      <c r="J4240" t="s">
        <v>48</v>
      </c>
      <c r="K4240" t="s">
        <v>20</v>
      </c>
      <c r="L4240" t="s">
        <v>3829</v>
      </c>
      <c r="M4240" s="3" t="str">
        <f>HYPERLINK("..\..\Imagery\ScannedPhotos\1981\CG81-315.jpg")</f>
        <v>..\..\Imagery\ScannedPhotos\1981\CG81-315.jpg</v>
      </c>
    </row>
    <row r="4241" spans="1:13" x14ac:dyDescent="0.25">
      <c r="A4241" t="s">
        <v>1882</v>
      </c>
      <c r="B4241">
        <v>449120</v>
      </c>
      <c r="C4241">
        <v>5770000</v>
      </c>
      <c r="D4241">
        <v>21</v>
      </c>
      <c r="E4241" t="s">
        <v>15</v>
      </c>
      <c r="F4241" t="s">
        <v>10047</v>
      </c>
      <c r="G4241">
        <v>2</v>
      </c>
      <c r="H4241" t="s">
        <v>904</v>
      </c>
      <c r="I4241" t="s">
        <v>65</v>
      </c>
      <c r="J4241" t="s">
        <v>905</v>
      </c>
      <c r="K4241" t="s">
        <v>20</v>
      </c>
      <c r="L4241" t="s">
        <v>1884</v>
      </c>
      <c r="M4241" s="3" t="str">
        <f>HYPERLINK("..\..\Imagery\ScannedPhotos\1992\VN92-238.2.jpg")</f>
        <v>..\..\Imagery\ScannedPhotos\1992\VN92-238.2.jpg</v>
      </c>
    </row>
    <row r="4242" spans="1:13" x14ac:dyDescent="0.25">
      <c r="A4242" t="s">
        <v>2201</v>
      </c>
      <c r="B4242">
        <v>579932</v>
      </c>
      <c r="C4242">
        <v>5761782</v>
      </c>
      <c r="D4242">
        <v>21</v>
      </c>
      <c r="E4242" t="s">
        <v>15</v>
      </c>
      <c r="F4242" t="s">
        <v>10048</v>
      </c>
      <c r="G4242">
        <v>3</v>
      </c>
      <c r="H4242" t="s">
        <v>1618</v>
      </c>
      <c r="I4242" t="s">
        <v>143</v>
      </c>
      <c r="J4242" t="s">
        <v>1619</v>
      </c>
      <c r="K4242" t="s">
        <v>56</v>
      </c>
      <c r="L4242" t="s">
        <v>2203</v>
      </c>
      <c r="M4242" s="3" t="str">
        <f>HYPERLINK("..\..\Imagery\ScannedPhotos\1987\CG87-421.1.jpg")</f>
        <v>..\..\Imagery\ScannedPhotos\1987\CG87-421.1.jpg</v>
      </c>
    </row>
    <row r="4243" spans="1:13" x14ac:dyDescent="0.25">
      <c r="A4243" t="s">
        <v>8197</v>
      </c>
      <c r="B4243">
        <v>411606</v>
      </c>
      <c r="C4243">
        <v>6015793</v>
      </c>
      <c r="D4243">
        <v>21</v>
      </c>
      <c r="E4243" t="s">
        <v>15</v>
      </c>
      <c r="F4243" t="s">
        <v>10049</v>
      </c>
      <c r="G4243">
        <v>3</v>
      </c>
      <c r="H4243" t="s">
        <v>93</v>
      </c>
      <c r="I4243" t="s">
        <v>18</v>
      </c>
      <c r="J4243" t="s">
        <v>95</v>
      </c>
      <c r="K4243" t="s">
        <v>20</v>
      </c>
      <c r="L4243" t="s">
        <v>10050</v>
      </c>
      <c r="M4243" s="3" t="str">
        <f>HYPERLINK("..\..\Imagery\ScannedPhotos\1980\CG80-219.3.jpg")</f>
        <v>..\..\Imagery\ScannedPhotos\1980\CG80-219.3.jpg</v>
      </c>
    </row>
    <row r="4244" spans="1:13" x14ac:dyDescent="0.25">
      <c r="A4244" t="s">
        <v>10051</v>
      </c>
      <c r="B4244">
        <v>435069</v>
      </c>
      <c r="C4244">
        <v>6008801</v>
      </c>
      <c r="D4244">
        <v>21</v>
      </c>
      <c r="E4244" t="s">
        <v>15</v>
      </c>
      <c r="F4244" t="s">
        <v>10052</v>
      </c>
      <c r="G4244">
        <v>1</v>
      </c>
      <c r="H4244" t="s">
        <v>93</v>
      </c>
      <c r="I4244" t="s">
        <v>35</v>
      </c>
      <c r="J4244" t="s">
        <v>95</v>
      </c>
      <c r="K4244" t="s">
        <v>20</v>
      </c>
      <c r="L4244" t="s">
        <v>1181</v>
      </c>
      <c r="M4244" s="3" t="str">
        <f>HYPERLINK("..\..\Imagery\ScannedPhotos\1980\CG80-224.jpg")</f>
        <v>..\..\Imagery\ScannedPhotos\1980\CG80-224.jpg</v>
      </c>
    </row>
    <row r="4245" spans="1:13" x14ac:dyDescent="0.25">
      <c r="A4245" t="s">
        <v>10053</v>
      </c>
      <c r="B4245">
        <v>436837</v>
      </c>
      <c r="C4245">
        <v>6008015</v>
      </c>
      <c r="D4245">
        <v>21</v>
      </c>
      <c r="E4245" t="s">
        <v>15</v>
      </c>
      <c r="F4245" t="s">
        <v>10054</v>
      </c>
      <c r="G4245">
        <v>1</v>
      </c>
      <c r="H4245" t="s">
        <v>93</v>
      </c>
      <c r="I4245" t="s">
        <v>69</v>
      </c>
      <c r="J4245" t="s">
        <v>95</v>
      </c>
      <c r="K4245" t="s">
        <v>20</v>
      </c>
      <c r="L4245" t="s">
        <v>10055</v>
      </c>
      <c r="M4245" s="3" t="str">
        <f>HYPERLINK("..\..\Imagery\ScannedPhotos\1980\CG80-229.jpg")</f>
        <v>..\..\Imagery\ScannedPhotos\1980\CG80-229.jpg</v>
      </c>
    </row>
    <row r="4246" spans="1:13" x14ac:dyDescent="0.25">
      <c r="A4246" t="s">
        <v>10056</v>
      </c>
      <c r="B4246">
        <v>437876</v>
      </c>
      <c r="C4246">
        <v>6008274</v>
      </c>
      <c r="D4246">
        <v>21</v>
      </c>
      <c r="E4246" t="s">
        <v>15</v>
      </c>
      <c r="F4246" t="s">
        <v>10057</v>
      </c>
      <c r="G4246">
        <v>1</v>
      </c>
      <c r="H4246" t="s">
        <v>93</v>
      </c>
      <c r="I4246" t="s">
        <v>74</v>
      </c>
      <c r="J4246" t="s">
        <v>95</v>
      </c>
      <c r="K4246" t="s">
        <v>20</v>
      </c>
      <c r="L4246" t="s">
        <v>1020</v>
      </c>
      <c r="M4246" s="3" t="str">
        <f>HYPERLINK("..\..\Imagery\ScannedPhotos\1980\CG80-231.jpg")</f>
        <v>..\..\Imagery\ScannedPhotos\1980\CG80-231.jpg</v>
      </c>
    </row>
    <row r="4247" spans="1:13" x14ac:dyDescent="0.25">
      <c r="A4247" t="s">
        <v>10058</v>
      </c>
      <c r="B4247">
        <v>438702</v>
      </c>
      <c r="C4247">
        <v>6007621</v>
      </c>
      <c r="D4247">
        <v>21</v>
      </c>
      <c r="E4247" t="s">
        <v>15</v>
      </c>
      <c r="F4247" t="s">
        <v>10059</v>
      </c>
      <c r="G4247">
        <v>1</v>
      </c>
      <c r="H4247" t="s">
        <v>93</v>
      </c>
      <c r="I4247" t="s">
        <v>41</v>
      </c>
      <c r="J4247" t="s">
        <v>95</v>
      </c>
      <c r="K4247" t="s">
        <v>20</v>
      </c>
      <c r="L4247" t="s">
        <v>10060</v>
      </c>
      <c r="M4247" s="3" t="str">
        <f>HYPERLINK("..\..\Imagery\ScannedPhotos\1980\CG80-234.jpg")</f>
        <v>..\..\Imagery\ScannedPhotos\1980\CG80-234.jpg</v>
      </c>
    </row>
    <row r="4248" spans="1:13" x14ac:dyDescent="0.25">
      <c r="A4248" t="s">
        <v>10061</v>
      </c>
      <c r="B4248">
        <v>438978</v>
      </c>
      <c r="C4248">
        <v>6007598</v>
      </c>
      <c r="D4248">
        <v>21</v>
      </c>
      <c r="E4248" t="s">
        <v>15</v>
      </c>
      <c r="F4248" t="s">
        <v>10062</v>
      </c>
      <c r="G4248">
        <v>2</v>
      </c>
      <c r="H4248" t="s">
        <v>93</v>
      </c>
      <c r="I4248" t="s">
        <v>375</v>
      </c>
      <c r="J4248" t="s">
        <v>95</v>
      </c>
      <c r="K4248" t="s">
        <v>20</v>
      </c>
      <c r="L4248" t="s">
        <v>10063</v>
      </c>
      <c r="M4248" s="3" t="str">
        <f>HYPERLINK("..\..\Imagery\ScannedPhotos\1980\CG80-235.2.jpg")</f>
        <v>..\..\Imagery\ScannedPhotos\1980\CG80-235.2.jpg</v>
      </c>
    </row>
    <row r="4249" spans="1:13" x14ac:dyDescent="0.25">
      <c r="A4249" t="s">
        <v>10061</v>
      </c>
      <c r="B4249">
        <v>438978</v>
      </c>
      <c r="C4249">
        <v>6007598</v>
      </c>
      <c r="D4249">
        <v>21</v>
      </c>
      <c r="E4249" t="s">
        <v>15</v>
      </c>
      <c r="F4249" t="s">
        <v>10064</v>
      </c>
      <c r="G4249">
        <v>2</v>
      </c>
      <c r="H4249" t="s">
        <v>93</v>
      </c>
      <c r="I4249" t="s">
        <v>85</v>
      </c>
      <c r="J4249" t="s">
        <v>95</v>
      </c>
      <c r="K4249" t="s">
        <v>20</v>
      </c>
      <c r="L4249" t="s">
        <v>6301</v>
      </c>
      <c r="M4249" s="3" t="str">
        <f>HYPERLINK("..\..\Imagery\ScannedPhotos\1980\CG80-235.1.jpg")</f>
        <v>..\..\Imagery\ScannedPhotos\1980\CG80-235.1.jpg</v>
      </c>
    </row>
    <row r="4250" spans="1:13" x14ac:dyDescent="0.25">
      <c r="A4250" t="s">
        <v>9904</v>
      </c>
      <c r="B4250">
        <v>448668</v>
      </c>
      <c r="C4250">
        <v>5773420</v>
      </c>
      <c r="D4250">
        <v>21</v>
      </c>
      <c r="E4250" t="s">
        <v>15</v>
      </c>
      <c r="F4250" t="s">
        <v>10065</v>
      </c>
      <c r="G4250">
        <v>3</v>
      </c>
      <c r="H4250" t="s">
        <v>4076</v>
      </c>
      <c r="I4250" t="s">
        <v>195</v>
      </c>
      <c r="J4250" t="s">
        <v>905</v>
      </c>
      <c r="K4250" t="s">
        <v>20</v>
      </c>
      <c r="L4250" t="s">
        <v>10066</v>
      </c>
      <c r="M4250" s="3" t="str">
        <f>HYPERLINK("..\..\Imagery\ScannedPhotos\1992\VN92-189.1.jpg")</f>
        <v>..\..\Imagery\ScannedPhotos\1992\VN92-189.1.jpg</v>
      </c>
    </row>
    <row r="4251" spans="1:13" x14ac:dyDescent="0.25">
      <c r="A4251" t="s">
        <v>9904</v>
      </c>
      <c r="B4251">
        <v>448668</v>
      </c>
      <c r="C4251">
        <v>5773420</v>
      </c>
      <c r="D4251">
        <v>21</v>
      </c>
      <c r="E4251" t="s">
        <v>15</v>
      </c>
      <c r="F4251" t="s">
        <v>10067</v>
      </c>
      <c r="G4251">
        <v>3</v>
      </c>
      <c r="H4251" t="s">
        <v>4076</v>
      </c>
      <c r="I4251" t="s">
        <v>25</v>
      </c>
      <c r="J4251" t="s">
        <v>905</v>
      </c>
      <c r="K4251" t="s">
        <v>20</v>
      </c>
      <c r="L4251" t="s">
        <v>10068</v>
      </c>
      <c r="M4251" s="3" t="str">
        <f>HYPERLINK("..\..\Imagery\ScannedPhotos\1992\VN92-189.2.jpg")</f>
        <v>..\..\Imagery\ScannedPhotos\1992\VN92-189.2.jpg</v>
      </c>
    </row>
    <row r="4252" spans="1:13" x14ac:dyDescent="0.25">
      <c r="A4252" t="s">
        <v>4074</v>
      </c>
      <c r="B4252">
        <v>445850</v>
      </c>
      <c r="C4252">
        <v>5771550</v>
      </c>
      <c r="D4252">
        <v>21</v>
      </c>
      <c r="E4252" t="s">
        <v>15</v>
      </c>
      <c r="F4252" t="s">
        <v>10069</v>
      </c>
      <c r="G4252">
        <v>15</v>
      </c>
      <c r="H4252" t="s">
        <v>746</v>
      </c>
      <c r="I4252" t="s">
        <v>375</v>
      </c>
      <c r="J4252" t="s">
        <v>747</v>
      </c>
      <c r="K4252" t="s">
        <v>56</v>
      </c>
      <c r="L4252" t="s">
        <v>10070</v>
      </c>
      <c r="M4252" s="3" t="str">
        <f>HYPERLINK("..\..\Imagery\ScannedPhotos\1992\VN92-197.1.jpg")</f>
        <v>..\..\Imagery\ScannedPhotos\1992\VN92-197.1.jpg</v>
      </c>
    </row>
    <row r="4253" spans="1:13" x14ac:dyDescent="0.25">
      <c r="A4253" t="s">
        <v>4074</v>
      </c>
      <c r="B4253">
        <v>445850</v>
      </c>
      <c r="C4253">
        <v>5771550</v>
      </c>
      <c r="D4253">
        <v>21</v>
      </c>
      <c r="E4253" t="s">
        <v>15</v>
      </c>
      <c r="F4253" t="s">
        <v>10071</v>
      </c>
      <c r="G4253">
        <v>15</v>
      </c>
      <c r="H4253" t="s">
        <v>4076</v>
      </c>
      <c r="I4253" t="s">
        <v>47</v>
      </c>
      <c r="J4253" t="s">
        <v>905</v>
      </c>
      <c r="K4253" t="s">
        <v>20</v>
      </c>
      <c r="L4253" t="s">
        <v>10072</v>
      </c>
      <c r="M4253" s="3" t="str">
        <f>HYPERLINK("..\..\Imagery\ScannedPhotos\1992\VN92-197.11.jpg")</f>
        <v>..\..\Imagery\ScannedPhotos\1992\VN92-197.11.jpg</v>
      </c>
    </row>
    <row r="4254" spans="1:13" x14ac:dyDescent="0.25">
      <c r="A4254" t="s">
        <v>4074</v>
      </c>
      <c r="B4254">
        <v>445850</v>
      </c>
      <c r="C4254">
        <v>5771550</v>
      </c>
      <c r="D4254">
        <v>21</v>
      </c>
      <c r="E4254" t="s">
        <v>15</v>
      </c>
      <c r="F4254" t="s">
        <v>10073</v>
      </c>
      <c r="G4254">
        <v>15</v>
      </c>
      <c r="H4254" t="s">
        <v>4076</v>
      </c>
      <c r="I4254" t="s">
        <v>401</v>
      </c>
      <c r="J4254" t="s">
        <v>905</v>
      </c>
      <c r="K4254" t="s">
        <v>20</v>
      </c>
      <c r="L4254" t="s">
        <v>10074</v>
      </c>
      <c r="M4254" s="3" t="str">
        <f>HYPERLINK("..\..\Imagery\ScannedPhotos\1992\VN92-197.14.jpg")</f>
        <v>..\..\Imagery\ScannedPhotos\1992\VN92-197.14.jpg</v>
      </c>
    </row>
    <row r="4255" spans="1:13" x14ac:dyDescent="0.25">
      <c r="A4255" t="s">
        <v>10075</v>
      </c>
      <c r="B4255">
        <v>508272</v>
      </c>
      <c r="C4255">
        <v>5711843</v>
      </c>
      <c r="D4255">
        <v>21</v>
      </c>
      <c r="E4255" t="s">
        <v>15</v>
      </c>
      <c r="F4255" t="s">
        <v>10076</v>
      </c>
      <c r="G4255">
        <v>1</v>
      </c>
      <c r="H4255" t="s">
        <v>1338</v>
      </c>
      <c r="I4255" t="s">
        <v>304</v>
      </c>
      <c r="J4255" t="s">
        <v>570</v>
      </c>
      <c r="K4255" t="s">
        <v>20</v>
      </c>
      <c r="L4255" t="s">
        <v>5890</v>
      </c>
      <c r="M4255" s="3" t="str">
        <f>HYPERLINK("..\..\Imagery\ScannedPhotos\1993\VN93-201.jpg")</f>
        <v>..\..\Imagery\ScannedPhotos\1993\VN93-201.jpg</v>
      </c>
    </row>
    <row r="4256" spans="1:13" x14ac:dyDescent="0.25">
      <c r="A4256" t="s">
        <v>6874</v>
      </c>
      <c r="B4256">
        <v>510564</v>
      </c>
      <c r="C4256">
        <v>5954420</v>
      </c>
      <c r="D4256">
        <v>21</v>
      </c>
      <c r="E4256" t="s">
        <v>15</v>
      </c>
      <c r="F4256" t="s">
        <v>10077</v>
      </c>
      <c r="G4256">
        <v>6</v>
      </c>
      <c r="H4256" t="s">
        <v>6876</v>
      </c>
      <c r="I4256" t="s">
        <v>69</v>
      </c>
      <c r="J4256" t="s">
        <v>48</v>
      </c>
      <c r="K4256" t="s">
        <v>20</v>
      </c>
      <c r="L4256" t="s">
        <v>10078</v>
      </c>
      <c r="M4256" s="3" t="str">
        <f>HYPERLINK("..\..\Imagery\ScannedPhotos\1981\VO81-018.2.jpg")</f>
        <v>..\..\Imagery\ScannedPhotos\1981\VO81-018.2.jpg</v>
      </c>
    </row>
    <row r="4257" spans="1:13" x14ac:dyDescent="0.25">
      <c r="A4257" t="s">
        <v>6874</v>
      </c>
      <c r="B4257">
        <v>510564</v>
      </c>
      <c r="C4257">
        <v>5954420</v>
      </c>
      <c r="D4257">
        <v>21</v>
      </c>
      <c r="E4257" t="s">
        <v>15</v>
      </c>
      <c r="F4257" t="s">
        <v>10079</v>
      </c>
      <c r="G4257">
        <v>6</v>
      </c>
      <c r="H4257" t="s">
        <v>6876</v>
      </c>
      <c r="I4257" t="s">
        <v>74</v>
      </c>
      <c r="J4257" t="s">
        <v>48</v>
      </c>
      <c r="K4257" t="s">
        <v>20</v>
      </c>
      <c r="L4257" t="s">
        <v>10080</v>
      </c>
      <c r="M4257" s="3" t="str">
        <f>HYPERLINK("..\..\Imagery\ScannedPhotos\1981\VO81-018.3.jpg")</f>
        <v>..\..\Imagery\ScannedPhotos\1981\VO81-018.3.jpg</v>
      </c>
    </row>
    <row r="4258" spans="1:13" x14ac:dyDescent="0.25">
      <c r="A4258" t="s">
        <v>6874</v>
      </c>
      <c r="B4258">
        <v>510564</v>
      </c>
      <c r="C4258">
        <v>5954420</v>
      </c>
      <c r="D4258">
        <v>21</v>
      </c>
      <c r="E4258" t="s">
        <v>15</v>
      </c>
      <c r="F4258" t="s">
        <v>10081</v>
      </c>
      <c r="G4258">
        <v>6</v>
      </c>
      <c r="H4258" t="s">
        <v>6876</v>
      </c>
      <c r="I4258" t="s">
        <v>375</v>
      </c>
      <c r="J4258" t="s">
        <v>48</v>
      </c>
      <c r="K4258" t="s">
        <v>20</v>
      </c>
      <c r="L4258" t="s">
        <v>10080</v>
      </c>
      <c r="M4258" s="3" t="str">
        <f>HYPERLINK("..\..\Imagery\ScannedPhotos\1981\VO81-018.6.jpg")</f>
        <v>..\..\Imagery\ScannedPhotos\1981\VO81-018.6.jpg</v>
      </c>
    </row>
    <row r="4259" spans="1:13" x14ac:dyDescent="0.25">
      <c r="A4259" t="s">
        <v>6874</v>
      </c>
      <c r="B4259">
        <v>510564</v>
      </c>
      <c r="C4259">
        <v>5954420</v>
      </c>
      <c r="D4259">
        <v>21</v>
      </c>
      <c r="E4259" t="s">
        <v>15</v>
      </c>
      <c r="F4259" t="s">
        <v>10082</v>
      </c>
      <c r="G4259">
        <v>6</v>
      </c>
      <c r="H4259" t="s">
        <v>6876</v>
      </c>
      <c r="I4259" t="s">
        <v>85</v>
      </c>
      <c r="J4259" t="s">
        <v>48</v>
      </c>
      <c r="K4259" t="s">
        <v>20</v>
      </c>
      <c r="L4259" t="s">
        <v>10080</v>
      </c>
      <c r="M4259" s="3" t="str">
        <f>HYPERLINK("..\..\Imagery\ScannedPhotos\1981\VO81-018.5.jpg")</f>
        <v>..\..\Imagery\ScannedPhotos\1981\VO81-018.5.jpg</v>
      </c>
    </row>
    <row r="4260" spans="1:13" x14ac:dyDescent="0.25">
      <c r="A4260" t="s">
        <v>6874</v>
      </c>
      <c r="B4260">
        <v>510564</v>
      </c>
      <c r="C4260">
        <v>5954420</v>
      </c>
      <c r="D4260">
        <v>21</v>
      </c>
      <c r="E4260" t="s">
        <v>15</v>
      </c>
      <c r="F4260" t="s">
        <v>10083</v>
      </c>
      <c r="G4260">
        <v>6</v>
      </c>
      <c r="H4260" t="s">
        <v>6876</v>
      </c>
      <c r="I4260" t="s">
        <v>41</v>
      </c>
      <c r="J4260" t="s">
        <v>48</v>
      </c>
      <c r="K4260" t="s">
        <v>20</v>
      </c>
      <c r="L4260" t="s">
        <v>10080</v>
      </c>
      <c r="M4260" s="3" t="str">
        <f>HYPERLINK("..\..\Imagery\ScannedPhotos\1981\VO81-018.4.jpg")</f>
        <v>..\..\Imagery\ScannedPhotos\1981\VO81-018.4.jpg</v>
      </c>
    </row>
    <row r="4261" spans="1:13" x14ac:dyDescent="0.25">
      <c r="A4261" t="s">
        <v>10084</v>
      </c>
      <c r="B4261">
        <v>540432</v>
      </c>
      <c r="C4261">
        <v>5735878</v>
      </c>
      <c r="D4261">
        <v>21</v>
      </c>
      <c r="E4261" t="s">
        <v>15</v>
      </c>
      <c r="F4261" t="s">
        <v>10085</v>
      </c>
      <c r="G4261">
        <v>1</v>
      </c>
      <c r="K4261" t="s">
        <v>20</v>
      </c>
      <c r="L4261" t="s">
        <v>10086</v>
      </c>
      <c r="M4261" s="3" t="str">
        <f>HYPERLINK("..\..\Imagery\ScannedPhotos\2003\CG03-009.jpg")</f>
        <v>..\..\Imagery\ScannedPhotos\2003\CG03-009.jpg</v>
      </c>
    </row>
    <row r="4262" spans="1:13" x14ac:dyDescent="0.25">
      <c r="A4262" t="s">
        <v>10087</v>
      </c>
      <c r="B4262">
        <v>567428</v>
      </c>
      <c r="C4262">
        <v>5797079</v>
      </c>
      <c r="D4262">
        <v>21</v>
      </c>
      <c r="E4262" t="s">
        <v>15</v>
      </c>
      <c r="F4262" t="s">
        <v>10088</v>
      </c>
      <c r="G4262">
        <v>2</v>
      </c>
      <c r="K4262" t="s">
        <v>56</v>
      </c>
      <c r="L4262" t="s">
        <v>10089</v>
      </c>
      <c r="M4262" s="3" t="str">
        <f>HYPERLINK("..\..\Imagery\ScannedPhotos\2003\CG03-155.1.jpg")</f>
        <v>..\..\Imagery\ScannedPhotos\2003\CG03-155.1.jpg</v>
      </c>
    </row>
    <row r="4263" spans="1:13" x14ac:dyDescent="0.25">
      <c r="A4263" t="s">
        <v>10087</v>
      </c>
      <c r="B4263">
        <v>567428</v>
      </c>
      <c r="C4263">
        <v>5797079</v>
      </c>
      <c r="D4263">
        <v>21</v>
      </c>
      <c r="E4263" t="s">
        <v>15</v>
      </c>
      <c r="F4263" t="s">
        <v>10090</v>
      </c>
      <c r="G4263">
        <v>2</v>
      </c>
      <c r="K4263" t="s">
        <v>56</v>
      </c>
      <c r="L4263" t="s">
        <v>10091</v>
      </c>
      <c r="M4263" s="3" t="str">
        <f>HYPERLINK("..\..\Imagery\ScannedPhotos\2003\CG03-155.2.jpg")</f>
        <v>..\..\Imagery\ScannedPhotos\2003\CG03-155.2.jpg</v>
      </c>
    </row>
    <row r="4264" spans="1:13" x14ac:dyDescent="0.25">
      <c r="A4264" t="s">
        <v>10092</v>
      </c>
      <c r="B4264">
        <v>545819</v>
      </c>
      <c r="C4264">
        <v>5813629</v>
      </c>
      <c r="D4264">
        <v>21</v>
      </c>
      <c r="E4264" t="s">
        <v>15</v>
      </c>
      <c r="F4264" t="s">
        <v>10093</v>
      </c>
      <c r="G4264">
        <v>1</v>
      </c>
      <c r="H4264" t="s">
        <v>796</v>
      </c>
      <c r="I4264" t="s">
        <v>94</v>
      </c>
      <c r="J4264" t="s">
        <v>797</v>
      </c>
      <c r="K4264" t="s">
        <v>20</v>
      </c>
      <c r="L4264" t="s">
        <v>10094</v>
      </c>
      <c r="M4264" s="3" t="str">
        <f>HYPERLINK("..\..\Imagery\ScannedPhotos\1987\JS87-052.jpg")</f>
        <v>..\..\Imagery\ScannedPhotos\1987\JS87-052.jpg</v>
      </c>
    </row>
    <row r="4265" spans="1:13" x14ac:dyDescent="0.25">
      <c r="A4265" t="s">
        <v>10095</v>
      </c>
      <c r="B4265">
        <v>338753</v>
      </c>
      <c r="C4265">
        <v>5779217</v>
      </c>
      <c r="D4265">
        <v>21</v>
      </c>
      <c r="E4265" t="s">
        <v>15</v>
      </c>
      <c r="F4265" t="s">
        <v>10096</v>
      </c>
      <c r="G4265">
        <v>6</v>
      </c>
      <c r="H4265" t="s">
        <v>78</v>
      </c>
      <c r="I4265" t="s">
        <v>360</v>
      </c>
      <c r="J4265" t="s">
        <v>80</v>
      </c>
      <c r="K4265" t="s">
        <v>20</v>
      </c>
      <c r="L4265" t="s">
        <v>4086</v>
      </c>
      <c r="M4265" s="3" t="str">
        <f>HYPERLINK("..\..\Imagery\ScannedPhotos\2000\CG00-169.6.jpg")</f>
        <v>..\..\Imagery\ScannedPhotos\2000\CG00-169.6.jpg</v>
      </c>
    </row>
    <row r="4266" spans="1:13" x14ac:dyDescent="0.25">
      <c r="A4266" t="s">
        <v>10095</v>
      </c>
      <c r="B4266">
        <v>338753</v>
      </c>
      <c r="C4266">
        <v>5779217</v>
      </c>
      <c r="D4266">
        <v>21</v>
      </c>
      <c r="E4266" t="s">
        <v>15</v>
      </c>
      <c r="F4266" t="s">
        <v>10097</v>
      </c>
      <c r="G4266">
        <v>6</v>
      </c>
      <c r="H4266" t="s">
        <v>3404</v>
      </c>
      <c r="I4266" t="s">
        <v>79</v>
      </c>
      <c r="J4266" t="s">
        <v>80</v>
      </c>
      <c r="K4266" t="s">
        <v>535</v>
      </c>
      <c r="L4266" t="s">
        <v>10098</v>
      </c>
      <c r="M4266" s="3" t="str">
        <f>HYPERLINK("..\..\Imagery\ScannedPhotos\2000\CG00-169.1.jpg")</f>
        <v>..\..\Imagery\ScannedPhotos\2000\CG00-169.1.jpg</v>
      </c>
    </row>
    <row r="4267" spans="1:13" x14ac:dyDescent="0.25">
      <c r="A4267" t="s">
        <v>10095</v>
      </c>
      <c r="B4267">
        <v>338753</v>
      </c>
      <c r="C4267">
        <v>5779217</v>
      </c>
      <c r="D4267">
        <v>21</v>
      </c>
      <c r="E4267" t="s">
        <v>15</v>
      </c>
      <c r="F4267" t="s">
        <v>10099</v>
      </c>
      <c r="G4267">
        <v>6</v>
      </c>
      <c r="H4267" t="s">
        <v>3404</v>
      </c>
      <c r="I4267" t="s">
        <v>281</v>
      </c>
      <c r="J4267" t="s">
        <v>80</v>
      </c>
      <c r="K4267" t="s">
        <v>20</v>
      </c>
      <c r="L4267" t="s">
        <v>10100</v>
      </c>
      <c r="M4267" s="3" t="str">
        <f>HYPERLINK("..\..\Imagery\ScannedPhotos\2000\CG00-169.2.jpg")</f>
        <v>..\..\Imagery\ScannedPhotos\2000\CG00-169.2.jpg</v>
      </c>
    </row>
    <row r="4268" spans="1:13" x14ac:dyDescent="0.25">
      <c r="A4268" t="s">
        <v>10101</v>
      </c>
      <c r="B4268">
        <v>338783</v>
      </c>
      <c r="C4268">
        <v>5774506</v>
      </c>
      <c r="D4268">
        <v>21</v>
      </c>
      <c r="E4268" t="s">
        <v>15</v>
      </c>
      <c r="F4268" t="s">
        <v>10102</v>
      </c>
      <c r="G4268">
        <v>1</v>
      </c>
      <c r="H4268" t="s">
        <v>3404</v>
      </c>
      <c r="I4268" t="s">
        <v>119</v>
      </c>
      <c r="J4268" t="s">
        <v>80</v>
      </c>
      <c r="K4268" t="s">
        <v>228</v>
      </c>
      <c r="L4268" t="s">
        <v>10103</v>
      </c>
      <c r="M4268" s="3" t="str">
        <f>HYPERLINK("..\..\Imagery\ScannedPhotos\2000\CG00-172.jpg")</f>
        <v>..\..\Imagery\ScannedPhotos\2000\CG00-172.jpg</v>
      </c>
    </row>
    <row r="4269" spans="1:13" x14ac:dyDescent="0.25">
      <c r="A4269" t="s">
        <v>10104</v>
      </c>
      <c r="B4269">
        <v>341277</v>
      </c>
      <c r="C4269">
        <v>5770406</v>
      </c>
      <c r="D4269">
        <v>21</v>
      </c>
      <c r="E4269" t="s">
        <v>15</v>
      </c>
      <c r="F4269" t="s">
        <v>10105</v>
      </c>
      <c r="G4269">
        <v>1</v>
      </c>
      <c r="H4269" t="s">
        <v>78</v>
      </c>
      <c r="I4269" t="s">
        <v>647</v>
      </c>
      <c r="J4269" t="s">
        <v>80</v>
      </c>
      <c r="K4269" t="s">
        <v>20</v>
      </c>
      <c r="L4269" t="s">
        <v>1020</v>
      </c>
      <c r="M4269" s="3" t="str">
        <f>HYPERLINK("..\..\Imagery\ScannedPhotos\2000\CG00-177.jpg")</f>
        <v>..\..\Imagery\ScannedPhotos\2000\CG00-177.jpg</v>
      </c>
    </row>
    <row r="4270" spans="1:13" x14ac:dyDescent="0.25">
      <c r="A4270" t="s">
        <v>10106</v>
      </c>
      <c r="B4270">
        <v>351620</v>
      </c>
      <c r="C4270">
        <v>5775516</v>
      </c>
      <c r="D4270">
        <v>21</v>
      </c>
      <c r="E4270" t="s">
        <v>15</v>
      </c>
      <c r="F4270" t="s">
        <v>10107</v>
      </c>
      <c r="G4270">
        <v>1</v>
      </c>
      <c r="H4270" t="s">
        <v>2236</v>
      </c>
      <c r="I4270" t="s">
        <v>69</v>
      </c>
      <c r="J4270" t="s">
        <v>80</v>
      </c>
      <c r="K4270" t="s">
        <v>20</v>
      </c>
      <c r="L4270" t="s">
        <v>10108</v>
      </c>
      <c r="M4270" s="3" t="str">
        <f>HYPERLINK("..\..\Imagery\ScannedPhotos\2000\CG00-229.jpg")</f>
        <v>..\..\Imagery\ScannedPhotos\2000\CG00-229.jpg</v>
      </c>
    </row>
    <row r="4271" spans="1:13" x14ac:dyDescent="0.25">
      <c r="A4271" t="s">
        <v>10109</v>
      </c>
      <c r="B4271">
        <v>351971</v>
      </c>
      <c r="C4271">
        <v>5779709</v>
      </c>
      <c r="D4271">
        <v>21</v>
      </c>
      <c r="E4271" t="s">
        <v>15</v>
      </c>
      <c r="F4271" t="s">
        <v>10110</v>
      </c>
      <c r="G4271">
        <v>1</v>
      </c>
      <c r="H4271" t="s">
        <v>2236</v>
      </c>
      <c r="I4271" t="s">
        <v>74</v>
      </c>
      <c r="J4271" t="s">
        <v>80</v>
      </c>
      <c r="K4271" t="s">
        <v>20</v>
      </c>
      <c r="L4271" t="s">
        <v>10111</v>
      </c>
      <c r="M4271" s="3" t="str">
        <f>HYPERLINK("..\..\Imagery\ScannedPhotos\2000\CG00-231.jpg")</f>
        <v>..\..\Imagery\ScannedPhotos\2000\CG00-231.jpg</v>
      </c>
    </row>
    <row r="4272" spans="1:13" x14ac:dyDescent="0.25">
      <c r="A4272" t="s">
        <v>10112</v>
      </c>
      <c r="B4272">
        <v>350818</v>
      </c>
      <c r="C4272">
        <v>5781123</v>
      </c>
      <c r="D4272">
        <v>21</v>
      </c>
      <c r="E4272" t="s">
        <v>15</v>
      </c>
      <c r="F4272" t="s">
        <v>10113</v>
      </c>
      <c r="G4272">
        <v>1</v>
      </c>
      <c r="H4272" t="s">
        <v>2236</v>
      </c>
      <c r="I4272" t="s">
        <v>41</v>
      </c>
      <c r="J4272" t="s">
        <v>80</v>
      </c>
      <c r="K4272" t="s">
        <v>20</v>
      </c>
      <c r="L4272" t="s">
        <v>10114</v>
      </c>
      <c r="M4272" s="3" t="str">
        <f>HYPERLINK("..\..\Imagery\ScannedPhotos\2000\CG00-232.jpg")</f>
        <v>..\..\Imagery\ScannedPhotos\2000\CG00-232.jpg</v>
      </c>
    </row>
    <row r="4273" spans="1:13" x14ac:dyDescent="0.25">
      <c r="A4273" t="s">
        <v>10115</v>
      </c>
      <c r="B4273">
        <v>486200</v>
      </c>
      <c r="C4273">
        <v>5868025</v>
      </c>
      <c r="D4273">
        <v>21</v>
      </c>
      <c r="E4273" t="s">
        <v>15</v>
      </c>
      <c r="F4273" t="s">
        <v>10116</v>
      </c>
      <c r="G4273">
        <v>2</v>
      </c>
      <c r="H4273" t="s">
        <v>3569</v>
      </c>
      <c r="I4273" t="s">
        <v>74</v>
      </c>
      <c r="J4273" t="s">
        <v>850</v>
      </c>
      <c r="K4273" t="s">
        <v>20</v>
      </c>
      <c r="L4273" t="s">
        <v>10117</v>
      </c>
      <c r="M4273" s="3" t="str">
        <f>HYPERLINK("..\..\Imagery\ScannedPhotos\1991\VN91-058.1.jpg")</f>
        <v>..\..\Imagery\ScannedPhotos\1991\VN91-058.1.jpg</v>
      </c>
    </row>
    <row r="4274" spans="1:13" x14ac:dyDescent="0.25">
      <c r="A4274" t="s">
        <v>10115</v>
      </c>
      <c r="B4274">
        <v>486200</v>
      </c>
      <c r="C4274">
        <v>5868025</v>
      </c>
      <c r="D4274">
        <v>21</v>
      </c>
      <c r="E4274" t="s">
        <v>15</v>
      </c>
      <c r="F4274" t="s">
        <v>10118</v>
      </c>
      <c r="G4274">
        <v>2</v>
      </c>
      <c r="H4274" t="s">
        <v>3569</v>
      </c>
      <c r="I4274" t="s">
        <v>85</v>
      </c>
      <c r="J4274" t="s">
        <v>850</v>
      </c>
      <c r="K4274" t="s">
        <v>20</v>
      </c>
      <c r="L4274" t="s">
        <v>10119</v>
      </c>
      <c r="M4274" s="3" t="str">
        <f>HYPERLINK("..\..\Imagery\ScannedPhotos\1991\VN91-058.2.jpg")</f>
        <v>..\..\Imagery\ScannedPhotos\1991\VN91-058.2.jpg</v>
      </c>
    </row>
    <row r="4275" spans="1:13" x14ac:dyDescent="0.25">
      <c r="A4275" t="s">
        <v>9413</v>
      </c>
      <c r="B4275">
        <v>486186</v>
      </c>
      <c r="C4275">
        <v>5867559</v>
      </c>
      <c r="D4275">
        <v>21</v>
      </c>
      <c r="E4275" t="s">
        <v>15</v>
      </c>
      <c r="F4275" t="s">
        <v>10120</v>
      </c>
      <c r="G4275">
        <v>3</v>
      </c>
      <c r="H4275" t="s">
        <v>3569</v>
      </c>
      <c r="I4275" t="s">
        <v>375</v>
      </c>
      <c r="J4275" t="s">
        <v>850</v>
      </c>
      <c r="K4275" t="s">
        <v>20</v>
      </c>
      <c r="L4275" t="s">
        <v>10121</v>
      </c>
      <c r="M4275" s="3" t="str">
        <f>HYPERLINK("..\..\Imagery\ScannedPhotos\1991\VN91-059.1.jpg")</f>
        <v>..\..\Imagery\ScannedPhotos\1991\VN91-059.1.jpg</v>
      </c>
    </row>
    <row r="4276" spans="1:13" x14ac:dyDescent="0.25">
      <c r="A4276" t="s">
        <v>9413</v>
      </c>
      <c r="B4276">
        <v>486186</v>
      </c>
      <c r="C4276">
        <v>5867559</v>
      </c>
      <c r="D4276">
        <v>21</v>
      </c>
      <c r="E4276" t="s">
        <v>15</v>
      </c>
      <c r="F4276" t="s">
        <v>10122</v>
      </c>
      <c r="G4276">
        <v>3</v>
      </c>
      <c r="H4276" t="s">
        <v>3569</v>
      </c>
      <c r="I4276" t="s">
        <v>94</v>
      </c>
      <c r="J4276" t="s">
        <v>850</v>
      </c>
      <c r="K4276" t="s">
        <v>20</v>
      </c>
      <c r="L4276" t="s">
        <v>10123</v>
      </c>
      <c r="M4276" s="3" t="str">
        <f>HYPERLINK("..\..\Imagery\ScannedPhotos\1991\VN91-059.2.jpg")</f>
        <v>..\..\Imagery\ScannedPhotos\1991\VN91-059.2.jpg</v>
      </c>
    </row>
    <row r="4277" spans="1:13" x14ac:dyDescent="0.25">
      <c r="A4277" t="s">
        <v>10124</v>
      </c>
      <c r="B4277">
        <v>556510</v>
      </c>
      <c r="C4277">
        <v>5740640</v>
      </c>
      <c r="D4277">
        <v>21</v>
      </c>
      <c r="E4277" t="s">
        <v>15</v>
      </c>
      <c r="F4277" t="s">
        <v>10125</v>
      </c>
      <c r="G4277">
        <v>5</v>
      </c>
      <c r="H4277" t="s">
        <v>7220</v>
      </c>
      <c r="I4277" t="s">
        <v>195</v>
      </c>
      <c r="J4277" t="s">
        <v>1738</v>
      </c>
      <c r="K4277" t="s">
        <v>20</v>
      </c>
      <c r="L4277" t="s">
        <v>10126</v>
      </c>
      <c r="M4277" s="3" t="str">
        <f>HYPERLINK("..\..\Imagery\ScannedPhotos\1993\CG93-407.1.jpg")</f>
        <v>..\..\Imagery\ScannedPhotos\1993\CG93-407.1.jpg</v>
      </c>
    </row>
    <row r="4278" spans="1:13" x14ac:dyDescent="0.25">
      <c r="A4278" t="s">
        <v>10124</v>
      </c>
      <c r="B4278">
        <v>556510</v>
      </c>
      <c r="C4278">
        <v>5740640</v>
      </c>
      <c r="D4278">
        <v>21</v>
      </c>
      <c r="E4278" t="s">
        <v>15</v>
      </c>
      <c r="F4278" t="s">
        <v>10127</v>
      </c>
      <c r="G4278">
        <v>5</v>
      </c>
      <c r="H4278" t="s">
        <v>7220</v>
      </c>
      <c r="I4278" t="s">
        <v>25</v>
      </c>
      <c r="J4278" t="s">
        <v>1738</v>
      </c>
      <c r="K4278" t="s">
        <v>56</v>
      </c>
      <c r="L4278" t="s">
        <v>10126</v>
      </c>
      <c r="M4278" s="3" t="str">
        <f>HYPERLINK("..\..\Imagery\ScannedPhotos\1993\CG93-407.2.jpg")</f>
        <v>..\..\Imagery\ScannedPhotos\1993\CG93-407.2.jpg</v>
      </c>
    </row>
    <row r="4279" spans="1:13" x14ac:dyDescent="0.25">
      <c r="A4279" t="s">
        <v>10124</v>
      </c>
      <c r="B4279">
        <v>556510</v>
      </c>
      <c r="C4279">
        <v>5740640</v>
      </c>
      <c r="D4279">
        <v>21</v>
      </c>
      <c r="E4279" t="s">
        <v>15</v>
      </c>
      <c r="F4279" t="s">
        <v>10128</v>
      </c>
      <c r="G4279">
        <v>5</v>
      </c>
      <c r="H4279" t="s">
        <v>7220</v>
      </c>
      <c r="I4279" t="s">
        <v>360</v>
      </c>
      <c r="J4279" t="s">
        <v>1738</v>
      </c>
      <c r="K4279" t="s">
        <v>20</v>
      </c>
      <c r="L4279" t="s">
        <v>10129</v>
      </c>
      <c r="M4279" s="3" t="str">
        <f>HYPERLINK("..\..\Imagery\ScannedPhotos\1993\CG93-407.3.jpg")</f>
        <v>..\..\Imagery\ScannedPhotos\1993\CG93-407.3.jpg</v>
      </c>
    </row>
    <row r="4280" spans="1:13" x14ac:dyDescent="0.25">
      <c r="A4280" t="s">
        <v>10124</v>
      </c>
      <c r="B4280">
        <v>556510</v>
      </c>
      <c r="C4280">
        <v>5740640</v>
      </c>
      <c r="D4280">
        <v>21</v>
      </c>
      <c r="E4280" t="s">
        <v>15</v>
      </c>
      <c r="F4280" t="s">
        <v>10130</v>
      </c>
      <c r="G4280">
        <v>5</v>
      </c>
      <c r="H4280" t="s">
        <v>7220</v>
      </c>
      <c r="I4280" t="s">
        <v>30</v>
      </c>
      <c r="J4280" t="s">
        <v>1738</v>
      </c>
      <c r="K4280" t="s">
        <v>56</v>
      </c>
      <c r="L4280" t="s">
        <v>10131</v>
      </c>
      <c r="M4280" s="3" t="str">
        <f>HYPERLINK("..\..\Imagery\ScannedPhotos\1993\CG93-407.5.jpg")</f>
        <v>..\..\Imagery\ScannedPhotos\1993\CG93-407.5.jpg</v>
      </c>
    </row>
    <row r="4281" spans="1:13" x14ac:dyDescent="0.25">
      <c r="A4281" t="s">
        <v>7218</v>
      </c>
      <c r="B4281">
        <v>556699</v>
      </c>
      <c r="C4281">
        <v>5740555</v>
      </c>
      <c r="D4281">
        <v>21</v>
      </c>
      <c r="E4281" t="s">
        <v>15</v>
      </c>
      <c r="F4281" t="s">
        <v>10132</v>
      </c>
      <c r="G4281">
        <v>2</v>
      </c>
      <c r="H4281" t="s">
        <v>7220</v>
      </c>
      <c r="I4281" t="s">
        <v>114</v>
      </c>
      <c r="J4281" t="s">
        <v>1738</v>
      </c>
      <c r="K4281" t="s">
        <v>20</v>
      </c>
      <c r="L4281" t="s">
        <v>10133</v>
      </c>
      <c r="M4281" s="3" t="str">
        <f>HYPERLINK("..\..\Imagery\ScannedPhotos\1993\CG93-408.1.jpg")</f>
        <v>..\..\Imagery\ScannedPhotos\1993\CG93-408.1.jpg</v>
      </c>
    </row>
    <row r="4282" spans="1:13" x14ac:dyDescent="0.25">
      <c r="A4282" t="s">
        <v>4344</v>
      </c>
      <c r="B4282">
        <v>598430</v>
      </c>
      <c r="C4282">
        <v>5790240</v>
      </c>
      <c r="D4282">
        <v>21</v>
      </c>
      <c r="E4282" t="s">
        <v>15</v>
      </c>
      <c r="F4282" t="s">
        <v>10134</v>
      </c>
      <c r="G4282">
        <v>3</v>
      </c>
      <c r="H4282" t="s">
        <v>4315</v>
      </c>
      <c r="I4282" t="s">
        <v>647</v>
      </c>
      <c r="J4282" t="s">
        <v>996</v>
      </c>
      <c r="K4282" t="s">
        <v>20</v>
      </c>
      <c r="L4282" t="s">
        <v>5138</v>
      </c>
      <c r="M4282" s="3" t="str">
        <f>HYPERLINK("..\..\Imagery\ScannedPhotos\1987\CG87-663.3.jpg")</f>
        <v>..\..\Imagery\ScannedPhotos\1987\CG87-663.3.jpg</v>
      </c>
    </row>
    <row r="4283" spans="1:13" x14ac:dyDescent="0.25">
      <c r="A4283" t="s">
        <v>7198</v>
      </c>
      <c r="B4283">
        <v>379225</v>
      </c>
      <c r="C4283">
        <v>5925962</v>
      </c>
      <c r="D4283">
        <v>21</v>
      </c>
      <c r="E4283" t="s">
        <v>15</v>
      </c>
      <c r="F4283" t="s">
        <v>10135</v>
      </c>
      <c r="G4283">
        <v>8</v>
      </c>
      <c r="H4283" t="s">
        <v>3762</v>
      </c>
      <c r="I4283" t="s">
        <v>74</v>
      </c>
      <c r="J4283" t="s">
        <v>557</v>
      </c>
      <c r="K4283" t="s">
        <v>20</v>
      </c>
      <c r="L4283" t="s">
        <v>7202</v>
      </c>
      <c r="M4283" s="3" t="str">
        <f>HYPERLINK("..\..\Imagery\ScannedPhotos\1995\CG95-249.2.jpg")</f>
        <v>..\..\Imagery\ScannedPhotos\1995\CG95-249.2.jpg</v>
      </c>
    </row>
    <row r="4284" spans="1:13" x14ac:dyDescent="0.25">
      <c r="A4284" t="s">
        <v>10136</v>
      </c>
      <c r="B4284">
        <v>402153</v>
      </c>
      <c r="C4284">
        <v>6073674</v>
      </c>
      <c r="D4284">
        <v>21</v>
      </c>
      <c r="E4284" t="s">
        <v>15</v>
      </c>
      <c r="F4284" t="s">
        <v>10137</v>
      </c>
      <c r="G4284">
        <v>1</v>
      </c>
      <c r="H4284" t="s">
        <v>1872</v>
      </c>
      <c r="I4284" t="s">
        <v>214</v>
      </c>
      <c r="J4284" t="s">
        <v>1873</v>
      </c>
      <c r="K4284" t="s">
        <v>20</v>
      </c>
      <c r="L4284" t="s">
        <v>10138</v>
      </c>
      <c r="M4284" s="3" t="str">
        <f>HYPERLINK("..\..\Imagery\ScannedPhotos\1979\CG79-006.jpg")</f>
        <v>..\..\Imagery\ScannedPhotos\1979\CG79-006.jpg</v>
      </c>
    </row>
    <row r="4285" spans="1:13" x14ac:dyDescent="0.25">
      <c r="A4285" t="s">
        <v>10139</v>
      </c>
      <c r="B4285">
        <v>400310</v>
      </c>
      <c r="C4285">
        <v>6074514</v>
      </c>
      <c r="D4285">
        <v>21</v>
      </c>
      <c r="E4285" t="s">
        <v>15</v>
      </c>
      <c r="F4285" t="s">
        <v>10140</v>
      </c>
      <c r="G4285">
        <v>2</v>
      </c>
      <c r="H4285" t="s">
        <v>1872</v>
      </c>
      <c r="I4285" t="s">
        <v>418</v>
      </c>
      <c r="J4285" t="s">
        <v>1873</v>
      </c>
      <c r="K4285" t="s">
        <v>20</v>
      </c>
      <c r="L4285" t="s">
        <v>10141</v>
      </c>
      <c r="M4285" s="3" t="str">
        <f>HYPERLINK("..\..\Imagery\ScannedPhotos\1979\CG79-012.2.jpg")</f>
        <v>..\..\Imagery\ScannedPhotos\1979\CG79-012.2.jpg</v>
      </c>
    </row>
    <row r="4286" spans="1:13" x14ac:dyDescent="0.25">
      <c r="A4286" t="s">
        <v>10139</v>
      </c>
      <c r="B4286">
        <v>400310</v>
      </c>
      <c r="C4286">
        <v>6074514</v>
      </c>
      <c r="D4286">
        <v>21</v>
      </c>
      <c r="E4286" t="s">
        <v>15</v>
      </c>
      <c r="F4286" t="s">
        <v>10142</v>
      </c>
      <c r="G4286">
        <v>2</v>
      </c>
      <c r="H4286" t="s">
        <v>1872</v>
      </c>
      <c r="I4286" t="s">
        <v>222</v>
      </c>
      <c r="J4286" t="s">
        <v>1873</v>
      </c>
      <c r="K4286" t="s">
        <v>20</v>
      </c>
      <c r="L4286" t="s">
        <v>10143</v>
      </c>
      <c r="M4286" s="3" t="str">
        <f>HYPERLINK("..\..\Imagery\ScannedPhotos\1979\CG79-012.1.jpg")</f>
        <v>..\..\Imagery\ScannedPhotos\1979\CG79-012.1.jpg</v>
      </c>
    </row>
    <row r="4287" spans="1:13" x14ac:dyDescent="0.25">
      <c r="A4287" t="s">
        <v>10144</v>
      </c>
      <c r="B4287">
        <v>399936</v>
      </c>
      <c r="C4287">
        <v>6074261</v>
      </c>
      <c r="D4287">
        <v>21</v>
      </c>
      <c r="E4287" t="s">
        <v>15</v>
      </c>
      <c r="F4287" t="s">
        <v>10145</v>
      </c>
      <c r="G4287">
        <v>1</v>
      </c>
      <c r="H4287" t="s">
        <v>1872</v>
      </c>
      <c r="I4287" t="s">
        <v>304</v>
      </c>
      <c r="J4287" t="s">
        <v>1873</v>
      </c>
      <c r="K4287" t="s">
        <v>20</v>
      </c>
      <c r="L4287" t="s">
        <v>10146</v>
      </c>
      <c r="M4287" s="3" t="str">
        <f>HYPERLINK("..\..\Imagery\ScannedPhotos\1979\CG79-013.jpg")</f>
        <v>..\..\Imagery\ScannedPhotos\1979\CG79-013.jpg</v>
      </c>
    </row>
    <row r="4288" spans="1:13" x14ac:dyDescent="0.25">
      <c r="A4288" t="s">
        <v>10147</v>
      </c>
      <c r="B4288">
        <v>403334</v>
      </c>
      <c r="C4288">
        <v>6073928</v>
      </c>
      <c r="D4288">
        <v>21</v>
      </c>
      <c r="E4288" t="s">
        <v>15</v>
      </c>
      <c r="F4288" t="s">
        <v>10148</v>
      </c>
      <c r="G4288">
        <v>1</v>
      </c>
      <c r="H4288" t="s">
        <v>1872</v>
      </c>
      <c r="I4288" t="s">
        <v>195</v>
      </c>
      <c r="J4288" t="s">
        <v>1873</v>
      </c>
      <c r="K4288" t="s">
        <v>20</v>
      </c>
      <c r="L4288" t="s">
        <v>10149</v>
      </c>
      <c r="M4288" s="3" t="str">
        <f>HYPERLINK("..\..\Imagery\ScannedPhotos\1979\CG79-017.jpg")</f>
        <v>..\..\Imagery\ScannedPhotos\1979\CG79-017.jpg</v>
      </c>
    </row>
    <row r="4289" spans="1:13" x14ac:dyDescent="0.25">
      <c r="A4289" t="s">
        <v>1870</v>
      </c>
      <c r="B4289">
        <v>398255</v>
      </c>
      <c r="C4289">
        <v>6073296</v>
      </c>
      <c r="D4289">
        <v>21</v>
      </c>
      <c r="E4289" t="s">
        <v>15</v>
      </c>
      <c r="F4289" t="s">
        <v>10150</v>
      </c>
      <c r="G4289">
        <v>8</v>
      </c>
      <c r="H4289" t="s">
        <v>1872</v>
      </c>
      <c r="I4289" t="s">
        <v>126</v>
      </c>
      <c r="J4289" t="s">
        <v>1873</v>
      </c>
      <c r="K4289" t="s">
        <v>109</v>
      </c>
      <c r="L4289" t="s">
        <v>10151</v>
      </c>
      <c r="M4289" s="3" t="str">
        <f>HYPERLINK("..\..\Imagery\ScannedPhotos\1979\CG79-018.8.jpg")</f>
        <v>..\..\Imagery\ScannedPhotos\1979\CG79-018.8.jpg</v>
      </c>
    </row>
    <row r="4290" spans="1:13" x14ac:dyDescent="0.25">
      <c r="A4290" t="s">
        <v>1870</v>
      </c>
      <c r="B4290">
        <v>398255</v>
      </c>
      <c r="C4290">
        <v>6073296</v>
      </c>
      <c r="D4290">
        <v>21</v>
      </c>
      <c r="E4290" t="s">
        <v>15</v>
      </c>
      <c r="F4290" t="s">
        <v>10152</v>
      </c>
      <c r="G4290">
        <v>8</v>
      </c>
      <c r="H4290" t="s">
        <v>1872</v>
      </c>
      <c r="I4290" t="s">
        <v>122</v>
      </c>
      <c r="J4290" t="s">
        <v>1873</v>
      </c>
      <c r="K4290" t="s">
        <v>109</v>
      </c>
      <c r="L4290" t="s">
        <v>10153</v>
      </c>
      <c r="M4290" s="3" t="str">
        <f>HYPERLINK("..\..\Imagery\ScannedPhotos\1979\CG79-018.7.jpg")</f>
        <v>..\..\Imagery\ScannedPhotos\1979\CG79-018.7.jpg</v>
      </c>
    </row>
    <row r="4291" spans="1:13" x14ac:dyDescent="0.25">
      <c r="A4291" t="s">
        <v>10154</v>
      </c>
      <c r="B4291">
        <v>537716</v>
      </c>
      <c r="C4291">
        <v>5931687</v>
      </c>
      <c r="D4291">
        <v>21</v>
      </c>
      <c r="E4291" t="s">
        <v>15</v>
      </c>
      <c r="F4291" t="s">
        <v>10155</v>
      </c>
      <c r="G4291">
        <v>1</v>
      </c>
      <c r="H4291" t="s">
        <v>5792</v>
      </c>
      <c r="I4291" t="s">
        <v>18</v>
      </c>
      <c r="J4291" t="s">
        <v>48</v>
      </c>
      <c r="K4291" t="s">
        <v>20</v>
      </c>
      <c r="L4291" t="s">
        <v>10156</v>
      </c>
      <c r="M4291" s="3" t="str">
        <f>HYPERLINK("..\..\Imagery\ScannedPhotos\1981\VO81-358.jpg")</f>
        <v>..\..\Imagery\ScannedPhotos\1981\VO81-358.jpg</v>
      </c>
    </row>
    <row r="4292" spans="1:13" x14ac:dyDescent="0.25">
      <c r="A4292" t="s">
        <v>10157</v>
      </c>
      <c r="B4292">
        <v>578685</v>
      </c>
      <c r="C4292">
        <v>5926970</v>
      </c>
      <c r="D4292">
        <v>21</v>
      </c>
      <c r="E4292" t="s">
        <v>15</v>
      </c>
      <c r="F4292" t="s">
        <v>10158</v>
      </c>
      <c r="G4292">
        <v>2</v>
      </c>
      <c r="H4292" t="s">
        <v>1378</v>
      </c>
      <c r="I4292" t="s">
        <v>41</v>
      </c>
      <c r="J4292" t="s">
        <v>628</v>
      </c>
      <c r="K4292" t="s">
        <v>20</v>
      </c>
      <c r="L4292" t="s">
        <v>5954</v>
      </c>
      <c r="M4292" s="3" t="str">
        <f>HYPERLINK("..\..\Imagery\ScannedPhotos\1985\CG85-619.2.jpg")</f>
        <v>..\..\Imagery\ScannedPhotos\1985\CG85-619.2.jpg</v>
      </c>
    </row>
    <row r="4293" spans="1:13" x14ac:dyDescent="0.25">
      <c r="A4293" t="s">
        <v>10159</v>
      </c>
      <c r="B4293">
        <v>500825</v>
      </c>
      <c r="C4293">
        <v>6035808</v>
      </c>
      <c r="D4293">
        <v>21</v>
      </c>
      <c r="E4293" t="s">
        <v>15</v>
      </c>
      <c r="F4293" t="s">
        <v>10160</v>
      </c>
      <c r="G4293">
        <v>2</v>
      </c>
      <c r="H4293" t="s">
        <v>835</v>
      </c>
      <c r="I4293" t="s">
        <v>74</v>
      </c>
      <c r="J4293" t="s">
        <v>423</v>
      </c>
      <c r="K4293" t="s">
        <v>20</v>
      </c>
      <c r="L4293" t="s">
        <v>10161</v>
      </c>
      <c r="M4293" s="3" t="str">
        <f>HYPERLINK("..\..\Imagery\ScannedPhotos\1979\CG79-341.1.jpg")</f>
        <v>..\..\Imagery\ScannedPhotos\1979\CG79-341.1.jpg</v>
      </c>
    </row>
    <row r="4294" spans="1:13" x14ac:dyDescent="0.25">
      <c r="A4294" t="s">
        <v>10159</v>
      </c>
      <c r="B4294">
        <v>500825</v>
      </c>
      <c r="C4294">
        <v>6035808</v>
      </c>
      <c r="D4294">
        <v>21</v>
      </c>
      <c r="E4294" t="s">
        <v>15</v>
      </c>
      <c r="F4294" t="s">
        <v>10162</v>
      </c>
      <c r="G4294">
        <v>2</v>
      </c>
      <c r="H4294" t="s">
        <v>835</v>
      </c>
      <c r="I4294" t="s">
        <v>41</v>
      </c>
      <c r="J4294" t="s">
        <v>423</v>
      </c>
      <c r="K4294" t="s">
        <v>20</v>
      </c>
      <c r="L4294" t="s">
        <v>5490</v>
      </c>
      <c r="M4294" s="3" t="str">
        <f>HYPERLINK("..\..\Imagery\ScannedPhotos\1979\CG79-341.2.jpg")</f>
        <v>..\..\Imagery\ScannedPhotos\1979\CG79-341.2.jpg</v>
      </c>
    </row>
    <row r="4295" spans="1:13" x14ac:dyDescent="0.25">
      <c r="A4295" t="s">
        <v>10163</v>
      </c>
      <c r="B4295">
        <v>504160</v>
      </c>
      <c r="C4295">
        <v>6035469</v>
      </c>
      <c r="D4295">
        <v>21</v>
      </c>
      <c r="E4295" t="s">
        <v>15</v>
      </c>
      <c r="F4295" t="s">
        <v>10164</v>
      </c>
      <c r="G4295">
        <v>2</v>
      </c>
      <c r="H4295" t="s">
        <v>835</v>
      </c>
      <c r="I4295" t="s">
        <v>375</v>
      </c>
      <c r="J4295" t="s">
        <v>423</v>
      </c>
      <c r="K4295" t="s">
        <v>228</v>
      </c>
      <c r="L4295" t="s">
        <v>10165</v>
      </c>
      <c r="M4295" s="3" t="str">
        <f>HYPERLINK("..\..\Imagery\ScannedPhotos\1979\CG79-343.2.jpg")</f>
        <v>..\..\Imagery\ScannedPhotos\1979\CG79-343.2.jpg</v>
      </c>
    </row>
    <row r="4296" spans="1:13" x14ac:dyDescent="0.25">
      <c r="A4296" t="s">
        <v>10163</v>
      </c>
      <c r="B4296">
        <v>504160</v>
      </c>
      <c r="C4296">
        <v>6035469</v>
      </c>
      <c r="D4296">
        <v>21</v>
      </c>
      <c r="E4296" t="s">
        <v>15</v>
      </c>
      <c r="F4296" t="s">
        <v>10166</v>
      </c>
      <c r="G4296">
        <v>2</v>
      </c>
      <c r="H4296" t="s">
        <v>835</v>
      </c>
      <c r="I4296" t="s">
        <v>85</v>
      </c>
      <c r="J4296" t="s">
        <v>423</v>
      </c>
      <c r="K4296" t="s">
        <v>20</v>
      </c>
      <c r="L4296" t="s">
        <v>10167</v>
      </c>
      <c r="M4296" s="3" t="str">
        <f>HYPERLINK("..\..\Imagery\ScannedPhotos\1979\CG79-343.1.jpg")</f>
        <v>..\..\Imagery\ScannedPhotos\1979\CG79-343.1.jpg</v>
      </c>
    </row>
    <row r="4297" spans="1:13" x14ac:dyDescent="0.25">
      <c r="A4297" t="s">
        <v>10168</v>
      </c>
      <c r="B4297">
        <v>588274</v>
      </c>
      <c r="C4297">
        <v>5771479</v>
      </c>
      <c r="D4297">
        <v>21</v>
      </c>
      <c r="E4297" t="s">
        <v>15</v>
      </c>
      <c r="F4297" t="s">
        <v>10169</v>
      </c>
      <c r="G4297">
        <v>5</v>
      </c>
      <c r="H4297" t="s">
        <v>1066</v>
      </c>
      <c r="I4297" t="s">
        <v>122</v>
      </c>
      <c r="J4297" t="s">
        <v>36</v>
      </c>
      <c r="K4297" t="s">
        <v>20</v>
      </c>
      <c r="L4297" t="s">
        <v>10170</v>
      </c>
      <c r="M4297" s="3" t="str">
        <f>HYPERLINK("..\..\Imagery\ScannedPhotos\1987\CG87-441.5.jpg")</f>
        <v>..\..\Imagery\ScannedPhotos\1987\CG87-441.5.jpg</v>
      </c>
    </row>
    <row r="4298" spans="1:13" x14ac:dyDescent="0.25">
      <c r="A4298" t="s">
        <v>10171</v>
      </c>
      <c r="B4298">
        <v>592948</v>
      </c>
      <c r="C4298">
        <v>5785231</v>
      </c>
      <c r="D4298">
        <v>21</v>
      </c>
      <c r="E4298" t="s">
        <v>15</v>
      </c>
      <c r="F4298" t="s">
        <v>10172</v>
      </c>
      <c r="G4298">
        <v>9</v>
      </c>
      <c r="H4298" t="s">
        <v>17</v>
      </c>
      <c r="I4298" t="s">
        <v>214</v>
      </c>
      <c r="J4298" t="s">
        <v>19</v>
      </c>
      <c r="K4298" t="s">
        <v>56</v>
      </c>
      <c r="L4298" t="s">
        <v>10173</v>
      </c>
      <c r="M4298" s="3" t="str">
        <f>HYPERLINK("..\..\Imagery\ScannedPhotos\1987\CG87-444.2.jpg")</f>
        <v>..\..\Imagery\ScannedPhotos\1987\CG87-444.2.jpg</v>
      </c>
    </row>
    <row r="4299" spans="1:13" x14ac:dyDescent="0.25">
      <c r="A4299" t="s">
        <v>10171</v>
      </c>
      <c r="B4299">
        <v>592948</v>
      </c>
      <c r="C4299">
        <v>5785231</v>
      </c>
      <c r="D4299">
        <v>21</v>
      </c>
      <c r="E4299" t="s">
        <v>15</v>
      </c>
      <c r="F4299" t="s">
        <v>10174</v>
      </c>
      <c r="G4299">
        <v>9</v>
      </c>
      <c r="H4299" t="s">
        <v>17</v>
      </c>
      <c r="I4299" t="s">
        <v>217</v>
      </c>
      <c r="J4299" t="s">
        <v>19</v>
      </c>
      <c r="K4299" t="s">
        <v>56</v>
      </c>
      <c r="L4299" t="s">
        <v>772</v>
      </c>
      <c r="M4299" s="3" t="str">
        <f>HYPERLINK("..\..\Imagery\ScannedPhotos\1987\CG87-444.1.jpg")</f>
        <v>..\..\Imagery\ScannedPhotos\1987\CG87-444.1.jpg</v>
      </c>
    </row>
    <row r="4300" spans="1:13" x14ac:dyDescent="0.25">
      <c r="A4300" t="s">
        <v>4114</v>
      </c>
      <c r="B4300">
        <v>574550</v>
      </c>
      <c r="C4300">
        <v>5919000</v>
      </c>
      <c r="D4300">
        <v>21</v>
      </c>
      <c r="E4300" t="s">
        <v>15</v>
      </c>
      <c r="F4300" t="s">
        <v>10175</v>
      </c>
      <c r="G4300">
        <v>5</v>
      </c>
      <c r="H4300" t="s">
        <v>1577</v>
      </c>
      <c r="I4300" t="s">
        <v>418</v>
      </c>
      <c r="J4300" t="s">
        <v>1374</v>
      </c>
      <c r="K4300" t="s">
        <v>20</v>
      </c>
      <c r="L4300" t="s">
        <v>9094</v>
      </c>
      <c r="M4300" s="3" t="str">
        <f>HYPERLINK("..\..\Imagery\ScannedPhotos\1985\GM85-633.4.jpg")</f>
        <v>..\..\Imagery\ScannedPhotos\1985\GM85-633.4.jpg</v>
      </c>
    </row>
    <row r="4301" spans="1:13" x14ac:dyDescent="0.25">
      <c r="A4301" t="s">
        <v>10176</v>
      </c>
      <c r="B4301">
        <v>568530</v>
      </c>
      <c r="C4301">
        <v>5916954</v>
      </c>
      <c r="D4301">
        <v>21</v>
      </c>
      <c r="E4301" t="s">
        <v>15</v>
      </c>
      <c r="F4301" t="s">
        <v>10177</v>
      </c>
      <c r="G4301">
        <v>4</v>
      </c>
      <c r="H4301" t="s">
        <v>1577</v>
      </c>
      <c r="I4301" t="s">
        <v>195</v>
      </c>
      <c r="J4301" t="s">
        <v>1374</v>
      </c>
      <c r="K4301" t="s">
        <v>20</v>
      </c>
      <c r="L4301" t="s">
        <v>10178</v>
      </c>
      <c r="M4301" s="3" t="str">
        <f>HYPERLINK("..\..\Imagery\ScannedPhotos\1985\GM85-635.1.jpg")</f>
        <v>..\..\Imagery\ScannedPhotos\1985\GM85-635.1.jpg</v>
      </c>
    </row>
    <row r="4302" spans="1:13" x14ac:dyDescent="0.25">
      <c r="A4302" t="s">
        <v>10176</v>
      </c>
      <c r="B4302">
        <v>568530</v>
      </c>
      <c r="C4302">
        <v>5916954</v>
      </c>
      <c r="D4302">
        <v>21</v>
      </c>
      <c r="E4302" t="s">
        <v>15</v>
      </c>
      <c r="F4302" t="s">
        <v>10179</v>
      </c>
      <c r="G4302">
        <v>4</v>
      </c>
      <c r="H4302" t="s">
        <v>1577</v>
      </c>
      <c r="I4302" t="s">
        <v>360</v>
      </c>
      <c r="J4302" t="s">
        <v>1374</v>
      </c>
      <c r="K4302" t="s">
        <v>20</v>
      </c>
      <c r="L4302" t="s">
        <v>10180</v>
      </c>
      <c r="M4302" s="3" t="str">
        <f>HYPERLINK("..\..\Imagery\ScannedPhotos\1985\GM85-635.3.jpg")</f>
        <v>..\..\Imagery\ScannedPhotos\1985\GM85-635.3.jpg</v>
      </c>
    </row>
    <row r="4303" spans="1:13" x14ac:dyDescent="0.25">
      <c r="A4303" t="s">
        <v>10181</v>
      </c>
      <c r="B4303">
        <v>508120</v>
      </c>
      <c r="C4303">
        <v>5743586</v>
      </c>
      <c r="D4303">
        <v>21</v>
      </c>
      <c r="E4303" t="s">
        <v>15</v>
      </c>
      <c r="F4303" t="s">
        <v>10182</v>
      </c>
      <c r="G4303">
        <v>1</v>
      </c>
      <c r="H4303" t="s">
        <v>1732</v>
      </c>
      <c r="I4303" t="s">
        <v>375</v>
      </c>
      <c r="J4303" t="s">
        <v>1733</v>
      </c>
      <c r="K4303" t="s">
        <v>56</v>
      </c>
      <c r="L4303" t="s">
        <v>10183</v>
      </c>
      <c r="M4303" s="3" t="str">
        <f>HYPERLINK("..\..\Imagery\ScannedPhotos\1993\CG93-498.jpg")</f>
        <v>..\..\Imagery\ScannedPhotos\1993\CG93-498.jpg</v>
      </c>
    </row>
    <row r="4304" spans="1:13" x14ac:dyDescent="0.25">
      <c r="A4304" t="s">
        <v>10184</v>
      </c>
      <c r="B4304">
        <v>395529</v>
      </c>
      <c r="C4304">
        <v>5989910</v>
      </c>
      <c r="D4304">
        <v>21</v>
      </c>
      <c r="E4304" t="s">
        <v>15</v>
      </c>
      <c r="F4304" t="s">
        <v>10185</v>
      </c>
      <c r="G4304">
        <v>1</v>
      </c>
      <c r="H4304" t="s">
        <v>781</v>
      </c>
      <c r="I4304" t="s">
        <v>360</v>
      </c>
      <c r="J4304" t="s">
        <v>782</v>
      </c>
      <c r="K4304" t="s">
        <v>20</v>
      </c>
      <c r="L4304" t="s">
        <v>10186</v>
      </c>
      <c r="M4304" s="3" t="str">
        <f>HYPERLINK("..\..\Imagery\ScannedPhotos\1980\NN80-099.jpg")</f>
        <v>..\..\Imagery\ScannedPhotos\1980\NN80-099.jpg</v>
      </c>
    </row>
    <row r="4305" spans="1:13" x14ac:dyDescent="0.25">
      <c r="A4305" t="s">
        <v>10187</v>
      </c>
      <c r="B4305">
        <v>477079</v>
      </c>
      <c r="C4305">
        <v>5811125</v>
      </c>
      <c r="D4305">
        <v>21</v>
      </c>
      <c r="E4305" t="s">
        <v>15</v>
      </c>
      <c r="F4305" t="s">
        <v>10188</v>
      </c>
      <c r="G4305">
        <v>2</v>
      </c>
      <c r="H4305" t="s">
        <v>2344</v>
      </c>
      <c r="I4305" t="s">
        <v>35</v>
      </c>
      <c r="J4305" t="s">
        <v>2341</v>
      </c>
      <c r="K4305" t="s">
        <v>56</v>
      </c>
      <c r="L4305" t="s">
        <v>10189</v>
      </c>
      <c r="M4305" s="3" t="str">
        <f>HYPERLINK("..\..\Imagery\ScannedPhotos\1992\JA92-025.1.jpg")</f>
        <v>..\..\Imagery\ScannedPhotos\1992\JA92-025.1.jpg</v>
      </c>
    </row>
    <row r="4306" spans="1:13" x14ac:dyDescent="0.25">
      <c r="A4306" t="s">
        <v>10187</v>
      </c>
      <c r="B4306">
        <v>477079</v>
      </c>
      <c r="C4306">
        <v>5811125</v>
      </c>
      <c r="D4306">
        <v>21</v>
      </c>
      <c r="E4306" t="s">
        <v>15</v>
      </c>
      <c r="F4306" t="s">
        <v>10190</v>
      </c>
      <c r="G4306">
        <v>2</v>
      </c>
      <c r="H4306" t="s">
        <v>2344</v>
      </c>
      <c r="I4306" t="s">
        <v>69</v>
      </c>
      <c r="J4306" t="s">
        <v>2341</v>
      </c>
      <c r="K4306" t="s">
        <v>20</v>
      </c>
      <c r="L4306" t="s">
        <v>10191</v>
      </c>
      <c r="M4306" s="3" t="str">
        <f>HYPERLINK("..\..\Imagery\ScannedPhotos\1992\JA92-025.2.jpg")</f>
        <v>..\..\Imagery\ScannedPhotos\1992\JA92-025.2.jpg</v>
      </c>
    </row>
    <row r="4307" spans="1:13" x14ac:dyDescent="0.25">
      <c r="A4307" t="s">
        <v>10192</v>
      </c>
      <c r="B4307">
        <v>469542</v>
      </c>
      <c r="C4307">
        <v>5815521</v>
      </c>
      <c r="D4307">
        <v>21</v>
      </c>
      <c r="E4307" t="s">
        <v>15</v>
      </c>
      <c r="F4307" t="s">
        <v>10193</v>
      </c>
      <c r="G4307">
        <v>1</v>
      </c>
      <c r="H4307" t="s">
        <v>2344</v>
      </c>
      <c r="I4307" t="s">
        <v>74</v>
      </c>
      <c r="J4307" t="s">
        <v>2341</v>
      </c>
      <c r="K4307" t="s">
        <v>56</v>
      </c>
      <c r="L4307" t="s">
        <v>10194</v>
      </c>
      <c r="M4307" s="3" t="str">
        <f>HYPERLINK("..\..\Imagery\ScannedPhotos\1992\JA92-027.jpg")</f>
        <v>..\..\Imagery\ScannedPhotos\1992\JA92-027.jpg</v>
      </c>
    </row>
    <row r="4308" spans="1:13" x14ac:dyDescent="0.25">
      <c r="A4308" t="s">
        <v>10095</v>
      </c>
      <c r="B4308">
        <v>338753</v>
      </c>
      <c r="C4308">
        <v>5779217</v>
      </c>
      <c r="D4308">
        <v>21</v>
      </c>
      <c r="E4308" t="s">
        <v>15</v>
      </c>
      <c r="F4308" t="s">
        <v>10195</v>
      </c>
      <c r="G4308">
        <v>6</v>
      </c>
      <c r="H4308" t="s">
        <v>78</v>
      </c>
      <c r="I4308" t="s">
        <v>195</v>
      </c>
      <c r="J4308" t="s">
        <v>80</v>
      </c>
      <c r="K4308" t="s">
        <v>20</v>
      </c>
      <c r="L4308" t="s">
        <v>10196</v>
      </c>
      <c r="M4308" s="3" t="str">
        <f>HYPERLINK("..\..\Imagery\ScannedPhotos\2000\CG00-169.4.jpg")</f>
        <v>..\..\Imagery\ScannedPhotos\2000\CG00-169.4.jpg</v>
      </c>
    </row>
    <row r="4309" spans="1:13" x14ac:dyDescent="0.25">
      <c r="A4309" t="s">
        <v>10095</v>
      </c>
      <c r="B4309">
        <v>338753</v>
      </c>
      <c r="C4309">
        <v>5779217</v>
      </c>
      <c r="D4309">
        <v>21</v>
      </c>
      <c r="E4309" t="s">
        <v>15</v>
      </c>
      <c r="F4309" t="s">
        <v>10197</v>
      </c>
      <c r="G4309">
        <v>6</v>
      </c>
      <c r="H4309" t="s">
        <v>78</v>
      </c>
      <c r="I4309" t="s">
        <v>25</v>
      </c>
      <c r="J4309" t="s">
        <v>80</v>
      </c>
      <c r="K4309" t="s">
        <v>20</v>
      </c>
      <c r="L4309" t="s">
        <v>4086</v>
      </c>
      <c r="M4309" s="3" t="str">
        <f>HYPERLINK("..\..\Imagery\ScannedPhotos\2000\CG00-169.5.jpg")</f>
        <v>..\..\Imagery\ScannedPhotos\2000\CG00-169.5.jpg</v>
      </c>
    </row>
    <row r="4310" spans="1:13" x14ac:dyDescent="0.25">
      <c r="A4310" t="s">
        <v>10198</v>
      </c>
      <c r="B4310">
        <v>542971</v>
      </c>
      <c r="C4310">
        <v>5740266</v>
      </c>
      <c r="D4310">
        <v>21</v>
      </c>
      <c r="E4310" t="s">
        <v>15</v>
      </c>
      <c r="F4310" t="s">
        <v>10199</v>
      </c>
      <c r="G4310">
        <v>1</v>
      </c>
      <c r="K4310" t="s">
        <v>20</v>
      </c>
      <c r="L4310" t="s">
        <v>10200</v>
      </c>
      <c r="M4310" s="3" t="str">
        <f>HYPERLINK("..\..\Imagery\ScannedPhotos\2003\CG03-021.jpg")</f>
        <v>..\..\Imagery\ScannedPhotos\2003\CG03-021.jpg</v>
      </c>
    </row>
    <row r="4311" spans="1:13" x14ac:dyDescent="0.25">
      <c r="A4311" t="s">
        <v>10201</v>
      </c>
      <c r="B4311">
        <v>542960</v>
      </c>
      <c r="C4311">
        <v>5740806</v>
      </c>
      <c r="D4311">
        <v>21</v>
      </c>
      <c r="E4311" t="s">
        <v>15</v>
      </c>
      <c r="F4311" t="s">
        <v>10202</v>
      </c>
      <c r="G4311">
        <v>1</v>
      </c>
      <c r="K4311" t="s">
        <v>228</v>
      </c>
      <c r="L4311" t="s">
        <v>10203</v>
      </c>
      <c r="M4311" s="3" t="str">
        <f>HYPERLINK("..\..\Imagery\ScannedPhotos\2003\CG03-022.jpg")</f>
        <v>..\..\Imagery\ScannedPhotos\2003\CG03-022.jpg</v>
      </c>
    </row>
    <row r="4312" spans="1:13" x14ac:dyDescent="0.25">
      <c r="A4312" t="s">
        <v>10204</v>
      </c>
      <c r="B4312">
        <v>542762</v>
      </c>
      <c r="C4312">
        <v>5741770</v>
      </c>
      <c r="D4312">
        <v>21</v>
      </c>
      <c r="E4312" t="s">
        <v>15</v>
      </c>
      <c r="F4312" t="s">
        <v>10205</v>
      </c>
      <c r="G4312">
        <v>1</v>
      </c>
      <c r="K4312" t="s">
        <v>20</v>
      </c>
      <c r="L4312" t="s">
        <v>10206</v>
      </c>
      <c r="M4312" s="3" t="str">
        <f>HYPERLINK("..\..\Imagery\ScannedPhotos\2003\CG03-024.jpg")</f>
        <v>..\..\Imagery\ScannedPhotos\2003\CG03-024.jpg</v>
      </c>
    </row>
    <row r="4313" spans="1:13" x14ac:dyDescent="0.25">
      <c r="A4313" t="s">
        <v>10207</v>
      </c>
      <c r="B4313">
        <v>414928</v>
      </c>
      <c r="C4313">
        <v>5994120</v>
      </c>
      <c r="D4313">
        <v>21</v>
      </c>
      <c r="E4313" t="s">
        <v>15</v>
      </c>
      <c r="F4313" t="s">
        <v>10208</v>
      </c>
      <c r="G4313">
        <v>1</v>
      </c>
      <c r="H4313" t="s">
        <v>758</v>
      </c>
      <c r="I4313" t="s">
        <v>52</v>
      </c>
      <c r="J4313" t="s">
        <v>759</v>
      </c>
      <c r="K4313" t="s">
        <v>20</v>
      </c>
      <c r="L4313" t="s">
        <v>10209</v>
      </c>
      <c r="M4313" s="3" t="str">
        <f>HYPERLINK("..\..\Imagery\ScannedPhotos\1980\RG80-075.jpg")</f>
        <v>..\..\Imagery\ScannedPhotos\1980\RG80-075.jpg</v>
      </c>
    </row>
    <row r="4314" spans="1:13" x14ac:dyDescent="0.25">
      <c r="A4314" t="s">
        <v>10210</v>
      </c>
      <c r="B4314">
        <v>415412</v>
      </c>
      <c r="C4314">
        <v>5994097</v>
      </c>
      <c r="D4314">
        <v>21</v>
      </c>
      <c r="E4314" t="s">
        <v>15</v>
      </c>
      <c r="F4314" t="s">
        <v>10211</v>
      </c>
      <c r="G4314">
        <v>1</v>
      </c>
      <c r="H4314" t="s">
        <v>758</v>
      </c>
      <c r="I4314" t="s">
        <v>65</v>
      </c>
      <c r="J4314" t="s">
        <v>759</v>
      </c>
      <c r="K4314" t="s">
        <v>20</v>
      </c>
      <c r="L4314" t="s">
        <v>10212</v>
      </c>
      <c r="M4314" s="3" t="str">
        <f>HYPERLINK("..\..\Imagery\ScannedPhotos\1980\RG80-076.jpg")</f>
        <v>..\..\Imagery\ScannedPhotos\1980\RG80-076.jpg</v>
      </c>
    </row>
    <row r="4315" spans="1:13" x14ac:dyDescent="0.25">
      <c r="A4315" t="s">
        <v>4554</v>
      </c>
      <c r="B4315">
        <v>435648</v>
      </c>
      <c r="C4315">
        <v>5899908</v>
      </c>
      <c r="D4315">
        <v>21</v>
      </c>
      <c r="E4315" t="s">
        <v>15</v>
      </c>
      <c r="F4315" t="s">
        <v>10213</v>
      </c>
      <c r="G4315">
        <v>10</v>
      </c>
      <c r="H4315" t="s">
        <v>3982</v>
      </c>
      <c r="I4315" t="s">
        <v>79</v>
      </c>
      <c r="J4315" t="s">
        <v>2247</v>
      </c>
      <c r="K4315" t="s">
        <v>20</v>
      </c>
      <c r="L4315" t="s">
        <v>10214</v>
      </c>
      <c r="M4315" s="3" t="str">
        <f>HYPERLINK("..\..\Imagery\ScannedPhotos\1984\CG84-435.6.jpg")</f>
        <v>..\..\Imagery\ScannedPhotos\1984\CG84-435.6.jpg</v>
      </c>
    </row>
    <row r="4316" spans="1:13" x14ac:dyDescent="0.25">
      <c r="A4316" t="s">
        <v>4554</v>
      </c>
      <c r="B4316">
        <v>435648</v>
      </c>
      <c r="C4316">
        <v>5899908</v>
      </c>
      <c r="D4316">
        <v>21</v>
      </c>
      <c r="E4316" t="s">
        <v>15</v>
      </c>
      <c r="F4316" t="s">
        <v>10215</v>
      </c>
      <c r="G4316">
        <v>10</v>
      </c>
      <c r="H4316" t="s">
        <v>2895</v>
      </c>
      <c r="I4316" t="s">
        <v>52</v>
      </c>
      <c r="J4316" t="s">
        <v>2896</v>
      </c>
      <c r="K4316" t="s">
        <v>20</v>
      </c>
      <c r="L4316" t="s">
        <v>7375</v>
      </c>
      <c r="M4316" s="3" t="str">
        <f>HYPERLINK("..\..\Imagery\ScannedPhotos\1984\CG84-435.3.jpg")</f>
        <v>..\..\Imagery\ScannedPhotos\1984\CG84-435.3.jpg</v>
      </c>
    </row>
    <row r="4317" spans="1:13" x14ac:dyDescent="0.25">
      <c r="A4317" t="s">
        <v>4554</v>
      </c>
      <c r="B4317">
        <v>435648</v>
      </c>
      <c r="C4317">
        <v>5899908</v>
      </c>
      <c r="D4317">
        <v>21</v>
      </c>
      <c r="E4317" t="s">
        <v>15</v>
      </c>
      <c r="F4317" t="s">
        <v>10216</v>
      </c>
      <c r="G4317">
        <v>10</v>
      </c>
      <c r="H4317" t="s">
        <v>2895</v>
      </c>
      <c r="I4317" t="s">
        <v>65</v>
      </c>
      <c r="J4317" t="s">
        <v>2896</v>
      </c>
      <c r="K4317" t="s">
        <v>56</v>
      </c>
      <c r="L4317" t="s">
        <v>10217</v>
      </c>
      <c r="M4317" s="3" t="str">
        <f>HYPERLINK("..\..\Imagery\ScannedPhotos\1984\CG84-435.4.jpg")</f>
        <v>..\..\Imagery\ScannedPhotos\1984\CG84-435.4.jpg</v>
      </c>
    </row>
    <row r="4318" spans="1:13" x14ac:dyDescent="0.25">
      <c r="A4318" t="s">
        <v>10218</v>
      </c>
      <c r="B4318">
        <v>376913</v>
      </c>
      <c r="C4318">
        <v>6083368</v>
      </c>
      <c r="D4318">
        <v>21</v>
      </c>
      <c r="E4318" t="s">
        <v>15</v>
      </c>
      <c r="F4318" t="s">
        <v>10219</v>
      </c>
      <c r="G4318">
        <v>2</v>
      </c>
      <c r="H4318" t="s">
        <v>1623</v>
      </c>
      <c r="I4318" t="s">
        <v>129</v>
      </c>
      <c r="J4318" t="s">
        <v>1624</v>
      </c>
      <c r="K4318" t="s">
        <v>20</v>
      </c>
      <c r="L4318" t="s">
        <v>10220</v>
      </c>
      <c r="M4318" s="3" t="str">
        <f>HYPERLINK("..\..\Imagery\ScannedPhotos\1978\AL78-090.1.jpg")</f>
        <v>..\..\Imagery\ScannedPhotos\1978\AL78-090.1.jpg</v>
      </c>
    </row>
    <row r="4319" spans="1:13" x14ac:dyDescent="0.25">
      <c r="A4319" t="s">
        <v>10221</v>
      </c>
      <c r="B4319">
        <v>494660</v>
      </c>
      <c r="C4319">
        <v>5946600</v>
      </c>
      <c r="D4319">
        <v>21</v>
      </c>
      <c r="E4319" t="s">
        <v>15</v>
      </c>
      <c r="F4319" t="s">
        <v>10222</v>
      </c>
      <c r="G4319">
        <v>2</v>
      </c>
      <c r="H4319" t="s">
        <v>3982</v>
      </c>
      <c r="I4319" t="s">
        <v>375</v>
      </c>
      <c r="J4319" t="s">
        <v>2247</v>
      </c>
      <c r="K4319" t="s">
        <v>20</v>
      </c>
      <c r="L4319" t="s">
        <v>4907</v>
      </c>
      <c r="M4319" s="3" t="str">
        <f>HYPERLINK("..\..\Imagery\ScannedPhotos\1984\CG84-438.1.jpg")</f>
        <v>..\..\Imagery\ScannedPhotos\1984\CG84-438.1.jpg</v>
      </c>
    </row>
    <row r="4320" spans="1:13" x14ac:dyDescent="0.25">
      <c r="A4320" t="s">
        <v>10221</v>
      </c>
      <c r="B4320">
        <v>494660</v>
      </c>
      <c r="C4320">
        <v>5946600</v>
      </c>
      <c r="D4320">
        <v>21</v>
      </c>
      <c r="E4320" t="s">
        <v>15</v>
      </c>
      <c r="F4320" t="s">
        <v>10223</v>
      </c>
      <c r="G4320">
        <v>2</v>
      </c>
      <c r="H4320" t="s">
        <v>3982</v>
      </c>
      <c r="I4320" t="s">
        <v>94</v>
      </c>
      <c r="J4320" t="s">
        <v>2247</v>
      </c>
      <c r="K4320" t="s">
        <v>20</v>
      </c>
      <c r="L4320" t="s">
        <v>10224</v>
      </c>
      <c r="M4320" s="3" t="str">
        <f>HYPERLINK("..\..\Imagery\ScannedPhotos\1984\CG84-438.2.jpg")</f>
        <v>..\..\Imagery\ScannedPhotos\1984\CG84-438.2.jpg</v>
      </c>
    </row>
    <row r="4321" spans="1:14" x14ac:dyDescent="0.25">
      <c r="A4321" t="s">
        <v>10225</v>
      </c>
      <c r="B4321">
        <v>464256</v>
      </c>
      <c r="C4321">
        <v>5926310</v>
      </c>
      <c r="D4321">
        <v>21</v>
      </c>
      <c r="E4321" t="s">
        <v>15</v>
      </c>
      <c r="F4321" t="s">
        <v>10226</v>
      </c>
      <c r="G4321">
        <v>4</v>
      </c>
      <c r="H4321" t="s">
        <v>3982</v>
      </c>
      <c r="I4321" t="s">
        <v>214</v>
      </c>
      <c r="J4321" t="s">
        <v>2247</v>
      </c>
      <c r="K4321" t="s">
        <v>20</v>
      </c>
      <c r="L4321" t="s">
        <v>10227</v>
      </c>
      <c r="M4321" s="3" t="str">
        <f>HYPERLINK("..\..\Imagery\ScannedPhotos\1984\CG84-439.4.jpg")</f>
        <v>..\..\Imagery\ScannedPhotos\1984\CG84-439.4.jpg</v>
      </c>
    </row>
    <row r="4322" spans="1:14" x14ac:dyDescent="0.25">
      <c r="A4322" t="s">
        <v>9942</v>
      </c>
      <c r="B4322">
        <v>596482</v>
      </c>
      <c r="C4322">
        <v>5792454</v>
      </c>
      <c r="D4322">
        <v>21</v>
      </c>
      <c r="E4322" t="s">
        <v>15</v>
      </c>
      <c r="F4322" t="s">
        <v>10228</v>
      </c>
      <c r="G4322">
        <v>3</v>
      </c>
      <c r="K4322" t="s">
        <v>228</v>
      </c>
      <c r="L4322" t="s">
        <v>9944</v>
      </c>
      <c r="M4322" s="3" t="str">
        <f>HYPERLINK("..\..\Imagery\ScannedPhotos\2007\CG07-196.1.jpg")</f>
        <v>..\..\Imagery\ScannedPhotos\2007\CG07-196.1.jpg</v>
      </c>
    </row>
    <row r="4323" spans="1:14" x14ac:dyDescent="0.25">
      <c r="A4323" t="s">
        <v>9942</v>
      </c>
      <c r="B4323">
        <v>596482</v>
      </c>
      <c r="C4323">
        <v>5792454</v>
      </c>
      <c r="D4323">
        <v>21</v>
      </c>
      <c r="E4323" t="s">
        <v>15</v>
      </c>
      <c r="F4323" t="s">
        <v>10229</v>
      </c>
      <c r="G4323">
        <v>3</v>
      </c>
      <c r="K4323" t="s">
        <v>228</v>
      </c>
      <c r="L4323" t="s">
        <v>9944</v>
      </c>
      <c r="M4323" s="3" t="str">
        <f>HYPERLINK("..\..\Imagery\ScannedPhotos\2007\CG07-196.2.jpg")</f>
        <v>..\..\Imagery\ScannedPhotos\2007\CG07-196.2.jpg</v>
      </c>
    </row>
    <row r="4324" spans="1:14" x14ac:dyDescent="0.25">
      <c r="A4324" t="s">
        <v>10230</v>
      </c>
      <c r="B4324">
        <v>479653</v>
      </c>
      <c r="C4324">
        <v>5922741</v>
      </c>
      <c r="D4324">
        <v>21</v>
      </c>
      <c r="E4324" t="s">
        <v>15</v>
      </c>
      <c r="F4324" t="s">
        <v>10231</v>
      </c>
      <c r="G4324">
        <v>2</v>
      </c>
      <c r="H4324" t="s">
        <v>4524</v>
      </c>
      <c r="I4324" t="s">
        <v>386</v>
      </c>
      <c r="J4324" t="s">
        <v>3309</v>
      </c>
      <c r="K4324" t="s">
        <v>20</v>
      </c>
      <c r="L4324" t="s">
        <v>10232</v>
      </c>
      <c r="M4324" s="3" t="str">
        <f>HYPERLINK("..\..\Imagery\ScannedPhotos\1984\VN84-020.1.jpg")</f>
        <v>..\..\Imagery\ScannedPhotos\1984\VN84-020.1.jpg</v>
      </c>
    </row>
    <row r="4325" spans="1:14" x14ac:dyDescent="0.25">
      <c r="A4325" t="s">
        <v>945</v>
      </c>
      <c r="B4325">
        <v>563516</v>
      </c>
      <c r="C4325">
        <v>5826157</v>
      </c>
      <c r="D4325">
        <v>21</v>
      </c>
      <c r="E4325" t="s">
        <v>15</v>
      </c>
      <c r="F4325" t="s">
        <v>10233</v>
      </c>
      <c r="G4325">
        <v>6</v>
      </c>
      <c r="H4325" t="s">
        <v>201</v>
      </c>
      <c r="I4325" t="s">
        <v>114</v>
      </c>
      <c r="J4325" t="s">
        <v>202</v>
      </c>
      <c r="K4325" t="s">
        <v>20</v>
      </c>
      <c r="L4325" t="s">
        <v>10234</v>
      </c>
      <c r="M4325" s="3" t="str">
        <f>HYPERLINK("..\..\Imagery\ScannedPhotos\1986\CG86-156.6.jpg")</f>
        <v>..\..\Imagery\ScannedPhotos\1986\CG86-156.6.jpg</v>
      </c>
    </row>
    <row r="4326" spans="1:14" x14ac:dyDescent="0.25">
      <c r="A4326" t="s">
        <v>945</v>
      </c>
      <c r="B4326">
        <v>563516</v>
      </c>
      <c r="C4326">
        <v>5826157</v>
      </c>
      <c r="D4326">
        <v>21</v>
      </c>
      <c r="E4326" t="s">
        <v>15</v>
      </c>
      <c r="F4326" t="s">
        <v>10235</v>
      </c>
      <c r="G4326">
        <v>6</v>
      </c>
      <c r="H4326" t="s">
        <v>201</v>
      </c>
      <c r="I4326" t="s">
        <v>360</v>
      </c>
      <c r="J4326" t="s">
        <v>202</v>
      </c>
      <c r="K4326" t="s">
        <v>20</v>
      </c>
      <c r="L4326" t="s">
        <v>10236</v>
      </c>
      <c r="M4326" s="3" t="str">
        <f>HYPERLINK("..\..\Imagery\ScannedPhotos\1986\CG86-156.3.jpg")</f>
        <v>..\..\Imagery\ScannedPhotos\1986\CG86-156.3.jpg</v>
      </c>
    </row>
    <row r="4327" spans="1:14" x14ac:dyDescent="0.25">
      <c r="A4327" t="s">
        <v>945</v>
      </c>
      <c r="B4327">
        <v>563516</v>
      </c>
      <c r="C4327">
        <v>5826157</v>
      </c>
      <c r="D4327">
        <v>21</v>
      </c>
      <c r="E4327" t="s">
        <v>15</v>
      </c>
      <c r="F4327" t="s">
        <v>10237</v>
      </c>
      <c r="G4327">
        <v>6</v>
      </c>
      <c r="H4327" t="s">
        <v>201</v>
      </c>
      <c r="I4327" t="s">
        <v>30</v>
      </c>
      <c r="J4327" t="s">
        <v>202</v>
      </c>
      <c r="K4327" t="s">
        <v>20</v>
      </c>
      <c r="L4327" t="s">
        <v>10238</v>
      </c>
      <c r="M4327" s="3" t="str">
        <f>HYPERLINK("..\..\Imagery\ScannedPhotos\1986\CG86-156.5.jpg")</f>
        <v>..\..\Imagery\ScannedPhotos\1986\CG86-156.5.jpg</v>
      </c>
    </row>
    <row r="4328" spans="1:14" x14ac:dyDescent="0.25">
      <c r="A4328" t="s">
        <v>5624</v>
      </c>
      <c r="B4328">
        <v>494685</v>
      </c>
      <c r="C4328">
        <v>5795346</v>
      </c>
      <c r="D4328">
        <v>21</v>
      </c>
      <c r="E4328" t="s">
        <v>15</v>
      </c>
      <c r="F4328" t="s">
        <v>10239</v>
      </c>
      <c r="G4328">
        <v>2</v>
      </c>
      <c r="H4328" t="s">
        <v>813</v>
      </c>
      <c r="I4328" t="s">
        <v>119</v>
      </c>
      <c r="J4328" t="s">
        <v>814</v>
      </c>
      <c r="K4328" t="s">
        <v>20</v>
      </c>
      <c r="L4328" t="s">
        <v>5626</v>
      </c>
      <c r="M4328" s="3" t="str">
        <f>HYPERLINK("..\..\Imagery\ScannedPhotos\1992\CG92-074.1E.jpg")</f>
        <v>..\..\Imagery\ScannedPhotos\1992\CG92-074.1E.jpg</v>
      </c>
      <c r="N4328" t="s">
        <v>1808</v>
      </c>
    </row>
    <row r="4329" spans="1:14" x14ac:dyDescent="0.25">
      <c r="A4329" t="s">
        <v>10240</v>
      </c>
      <c r="B4329">
        <v>487744</v>
      </c>
      <c r="C4329">
        <v>5796831</v>
      </c>
      <c r="D4329">
        <v>21</v>
      </c>
      <c r="E4329" t="s">
        <v>15</v>
      </c>
      <c r="F4329" t="s">
        <v>10241</v>
      </c>
      <c r="G4329">
        <v>1</v>
      </c>
      <c r="H4329" t="s">
        <v>813</v>
      </c>
      <c r="I4329" t="s">
        <v>108</v>
      </c>
      <c r="J4329" t="s">
        <v>814</v>
      </c>
      <c r="K4329" t="s">
        <v>56</v>
      </c>
      <c r="L4329" t="s">
        <v>10242</v>
      </c>
      <c r="M4329" s="3" t="str">
        <f>HYPERLINK("..\..\Imagery\ScannedPhotos\1992\CG92-077.jpg")</f>
        <v>..\..\Imagery\ScannedPhotos\1992\CG92-077.jpg</v>
      </c>
    </row>
    <row r="4330" spans="1:14" x14ac:dyDescent="0.25">
      <c r="A4330" t="s">
        <v>10243</v>
      </c>
      <c r="B4330">
        <v>486411</v>
      </c>
      <c r="C4330">
        <v>5800963</v>
      </c>
      <c r="D4330">
        <v>21</v>
      </c>
      <c r="E4330" t="s">
        <v>15</v>
      </c>
      <c r="F4330" t="s">
        <v>10244</v>
      </c>
      <c r="G4330">
        <v>1</v>
      </c>
      <c r="H4330" t="s">
        <v>813</v>
      </c>
      <c r="I4330" t="s">
        <v>132</v>
      </c>
      <c r="J4330" t="s">
        <v>814</v>
      </c>
      <c r="K4330" t="s">
        <v>56</v>
      </c>
      <c r="L4330" t="s">
        <v>10245</v>
      </c>
      <c r="M4330" s="3" t="str">
        <f>HYPERLINK("..\..\Imagery\ScannedPhotos\1992\CG92-080.jpg")</f>
        <v>..\..\Imagery\ScannedPhotos\1992\CG92-080.jpg</v>
      </c>
    </row>
    <row r="4331" spans="1:14" x14ac:dyDescent="0.25">
      <c r="A4331" t="s">
        <v>10246</v>
      </c>
      <c r="B4331">
        <v>468221</v>
      </c>
      <c r="C4331">
        <v>5786721</v>
      </c>
      <c r="D4331">
        <v>21</v>
      </c>
      <c r="E4331" t="s">
        <v>15</v>
      </c>
      <c r="F4331" t="s">
        <v>10247</v>
      </c>
      <c r="G4331">
        <v>1</v>
      </c>
      <c r="H4331" t="s">
        <v>813</v>
      </c>
      <c r="I4331" t="s">
        <v>47</v>
      </c>
      <c r="J4331" t="s">
        <v>814</v>
      </c>
      <c r="K4331" t="s">
        <v>56</v>
      </c>
      <c r="L4331" t="s">
        <v>10248</v>
      </c>
      <c r="M4331" s="3" t="str">
        <f>HYPERLINK("..\..\Imagery\ScannedPhotos\1992\CG92-095.jpg")</f>
        <v>..\..\Imagery\ScannedPhotos\1992\CG92-095.jpg</v>
      </c>
    </row>
    <row r="4332" spans="1:14" x14ac:dyDescent="0.25">
      <c r="A4332" t="s">
        <v>10249</v>
      </c>
      <c r="B4332">
        <v>433890</v>
      </c>
      <c r="C4332">
        <v>5789009</v>
      </c>
      <c r="D4332">
        <v>21</v>
      </c>
      <c r="E4332" t="s">
        <v>15</v>
      </c>
      <c r="F4332" t="s">
        <v>10250</v>
      </c>
      <c r="G4332">
        <v>2</v>
      </c>
      <c r="H4332" t="s">
        <v>1107</v>
      </c>
      <c r="I4332" t="s">
        <v>79</v>
      </c>
      <c r="J4332" t="s">
        <v>747</v>
      </c>
      <c r="K4332" t="s">
        <v>56</v>
      </c>
      <c r="L4332" t="s">
        <v>6604</v>
      </c>
      <c r="M4332" s="3" t="str">
        <f>HYPERLINK("..\..\Imagery\ScannedPhotos\1992\CG92-112.1.jpg")</f>
        <v>..\..\Imagery\ScannedPhotos\1992\CG92-112.1.jpg</v>
      </c>
    </row>
    <row r="4333" spans="1:14" x14ac:dyDescent="0.25">
      <c r="A4333" t="s">
        <v>6192</v>
      </c>
      <c r="B4333">
        <v>445824</v>
      </c>
      <c r="C4333">
        <v>5904048</v>
      </c>
      <c r="D4333">
        <v>21</v>
      </c>
      <c r="E4333" t="s">
        <v>15</v>
      </c>
      <c r="F4333" t="s">
        <v>10251</v>
      </c>
      <c r="G4333">
        <v>4</v>
      </c>
      <c r="H4333" t="s">
        <v>2065</v>
      </c>
      <c r="I4333" t="s">
        <v>401</v>
      </c>
      <c r="J4333" t="s">
        <v>156</v>
      </c>
      <c r="K4333" t="s">
        <v>20</v>
      </c>
      <c r="L4333" t="s">
        <v>9383</v>
      </c>
      <c r="M4333" s="3" t="str">
        <f>HYPERLINK("..\..\Imagery\ScannedPhotos\1984\NN84-073.4.jpg")</f>
        <v>..\..\Imagery\ScannedPhotos\1984\NN84-073.4.jpg</v>
      </c>
    </row>
    <row r="4334" spans="1:14" x14ac:dyDescent="0.25">
      <c r="A4334" t="s">
        <v>6192</v>
      </c>
      <c r="B4334">
        <v>445824</v>
      </c>
      <c r="C4334">
        <v>5904048</v>
      </c>
      <c r="D4334">
        <v>21</v>
      </c>
      <c r="E4334" t="s">
        <v>15</v>
      </c>
      <c r="F4334" t="s">
        <v>10252</v>
      </c>
      <c r="G4334">
        <v>4</v>
      </c>
      <c r="H4334" t="s">
        <v>2065</v>
      </c>
      <c r="I4334" t="s">
        <v>47</v>
      </c>
      <c r="J4334" t="s">
        <v>156</v>
      </c>
      <c r="K4334" t="s">
        <v>20</v>
      </c>
      <c r="L4334" t="s">
        <v>2447</v>
      </c>
      <c r="M4334" s="3" t="str">
        <f>HYPERLINK("..\..\Imagery\ScannedPhotos\1984\NN84-073.1.jpg")</f>
        <v>..\..\Imagery\ScannedPhotos\1984\NN84-073.1.jpg</v>
      </c>
    </row>
    <row r="4335" spans="1:14" x14ac:dyDescent="0.25">
      <c r="A4335" t="s">
        <v>9070</v>
      </c>
      <c r="B4335">
        <v>582547</v>
      </c>
      <c r="C4335">
        <v>5887482</v>
      </c>
      <c r="D4335">
        <v>21</v>
      </c>
      <c r="E4335" t="s">
        <v>15</v>
      </c>
      <c r="F4335" t="s">
        <v>10253</v>
      </c>
      <c r="G4335">
        <v>4</v>
      </c>
      <c r="H4335" t="s">
        <v>4870</v>
      </c>
      <c r="I4335" t="s">
        <v>195</v>
      </c>
      <c r="J4335" t="s">
        <v>138</v>
      </c>
      <c r="K4335" t="s">
        <v>20</v>
      </c>
      <c r="L4335" t="s">
        <v>9072</v>
      </c>
      <c r="M4335" s="3" t="str">
        <f>HYPERLINK("..\..\Imagery\ScannedPhotos\1985\GM85-517.2.jpg")</f>
        <v>..\..\Imagery\ScannedPhotos\1985\GM85-517.2.jpg</v>
      </c>
    </row>
    <row r="4336" spans="1:14" x14ac:dyDescent="0.25">
      <c r="A4336" t="s">
        <v>134</v>
      </c>
      <c r="B4336">
        <v>582169</v>
      </c>
      <c r="C4336">
        <v>5899769</v>
      </c>
      <c r="D4336">
        <v>21</v>
      </c>
      <c r="E4336" t="s">
        <v>15</v>
      </c>
      <c r="F4336" t="s">
        <v>10254</v>
      </c>
      <c r="G4336">
        <v>6</v>
      </c>
      <c r="H4336" t="s">
        <v>136</v>
      </c>
      <c r="I4336" t="s">
        <v>18</v>
      </c>
      <c r="J4336" t="s">
        <v>138</v>
      </c>
      <c r="K4336" t="s">
        <v>20</v>
      </c>
      <c r="L4336" t="s">
        <v>139</v>
      </c>
      <c r="M4336" s="3" t="str">
        <f>HYPERLINK("..\..\Imagery\ScannedPhotos\1985\GM85-536.2.jpg")</f>
        <v>..\..\Imagery\ScannedPhotos\1985\GM85-536.2.jpg</v>
      </c>
    </row>
    <row r="4337" spans="1:13" x14ac:dyDescent="0.25">
      <c r="A4337" t="s">
        <v>134</v>
      </c>
      <c r="B4337">
        <v>582169</v>
      </c>
      <c r="C4337">
        <v>5899769</v>
      </c>
      <c r="D4337">
        <v>21</v>
      </c>
      <c r="E4337" t="s">
        <v>15</v>
      </c>
      <c r="F4337" t="s">
        <v>10255</v>
      </c>
      <c r="G4337">
        <v>6</v>
      </c>
      <c r="H4337" t="s">
        <v>136</v>
      </c>
      <c r="I4337" t="s">
        <v>35</v>
      </c>
      <c r="J4337" t="s">
        <v>138</v>
      </c>
      <c r="K4337" t="s">
        <v>20</v>
      </c>
      <c r="L4337" t="s">
        <v>139</v>
      </c>
      <c r="M4337" s="3" t="str">
        <f>HYPERLINK("..\..\Imagery\ScannedPhotos\1985\GM85-536.3.jpg")</f>
        <v>..\..\Imagery\ScannedPhotos\1985\GM85-536.3.jpg</v>
      </c>
    </row>
    <row r="4338" spans="1:13" x14ac:dyDescent="0.25">
      <c r="A4338" t="s">
        <v>10256</v>
      </c>
      <c r="B4338">
        <v>504146</v>
      </c>
      <c r="C4338">
        <v>5865261</v>
      </c>
      <c r="D4338">
        <v>21</v>
      </c>
      <c r="E4338" t="s">
        <v>15</v>
      </c>
      <c r="F4338" t="s">
        <v>10257</v>
      </c>
      <c r="G4338">
        <v>1</v>
      </c>
      <c r="H4338" t="s">
        <v>1212</v>
      </c>
      <c r="I4338" t="s">
        <v>360</v>
      </c>
      <c r="J4338" t="s">
        <v>100</v>
      </c>
      <c r="K4338" t="s">
        <v>20</v>
      </c>
      <c r="L4338" t="s">
        <v>10258</v>
      </c>
      <c r="M4338" s="3" t="str">
        <f>HYPERLINK("..\..\Imagery\ScannedPhotos\1986\JS86-043.jpg")</f>
        <v>..\..\Imagery\ScannedPhotos\1986\JS86-043.jpg</v>
      </c>
    </row>
    <row r="4339" spans="1:13" x14ac:dyDescent="0.25">
      <c r="A4339" t="s">
        <v>9143</v>
      </c>
      <c r="B4339">
        <v>490109</v>
      </c>
      <c r="C4339">
        <v>5939747</v>
      </c>
      <c r="D4339">
        <v>21</v>
      </c>
      <c r="E4339" t="s">
        <v>15</v>
      </c>
      <c r="F4339" t="s">
        <v>10259</v>
      </c>
      <c r="G4339">
        <v>2</v>
      </c>
      <c r="H4339" t="s">
        <v>142</v>
      </c>
      <c r="I4339" t="s">
        <v>222</v>
      </c>
      <c r="J4339" t="s">
        <v>144</v>
      </c>
      <c r="K4339" t="s">
        <v>20</v>
      </c>
      <c r="L4339" t="s">
        <v>10260</v>
      </c>
      <c r="M4339" s="3" t="str">
        <f>HYPERLINK("..\..\Imagery\ScannedPhotos\1977\MC77-012.2.jpg")</f>
        <v>..\..\Imagery\ScannedPhotos\1977\MC77-012.2.jpg</v>
      </c>
    </row>
    <row r="4340" spans="1:13" x14ac:dyDescent="0.25">
      <c r="A4340" t="s">
        <v>10261</v>
      </c>
      <c r="B4340">
        <v>443229</v>
      </c>
      <c r="C4340">
        <v>5764594</v>
      </c>
      <c r="D4340">
        <v>21</v>
      </c>
      <c r="E4340" t="s">
        <v>15</v>
      </c>
      <c r="F4340" t="s">
        <v>10262</v>
      </c>
      <c r="G4340">
        <v>2</v>
      </c>
      <c r="H4340" t="s">
        <v>1107</v>
      </c>
      <c r="I4340" t="s">
        <v>143</v>
      </c>
      <c r="J4340" t="s">
        <v>747</v>
      </c>
      <c r="K4340" t="s">
        <v>20</v>
      </c>
      <c r="L4340" t="s">
        <v>10263</v>
      </c>
      <c r="M4340" s="3" t="str">
        <f>HYPERLINK("..\..\Imagery\ScannedPhotos\1992\CG92-161.2.jpg")</f>
        <v>..\..\Imagery\ScannedPhotos\1992\CG92-161.2.jpg</v>
      </c>
    </row>
    <row r="4341" spans="1:13" x14ac:dyDescent="0.25">
      <c r="A4341" t="s">
        <v>10264</v>
      </c>
      <c r="B4341">
        <v>443499</v>
      </c>
      <c r="C4341">
        <v>5764307</v>
      </c>
      <c r="D4341">
        <v>21</v>
      </c>
      <c r="E4341" t="s">
        <v>15</v>
      </c>
      <c r="F4341" t="s">
        <v>10265</v>
      </c>
      <c r="G4341">
        <v>1</v>
      </c>
      <c r="H4341" t="s">
        <v>1107</v>
      </c>
      <c r="I4341" t="s">
        <v>147</v>
      </c>
      <c r="J4341" t="s">
        <v>747</v>
      </c>
      <c r="K4341" t="s">
        <v>20</v>
      </c>
      <c r="L4341" t="s">
        <v>10266</v>
      </c>
      <c r="M4341" s="3" t="str">
        <f>HYPERLINK("..\..\Imagery\ScannedPhotos\1992\CG92-162.jpg")</f>
        <v>..\..\Imagery\ScannedPhotos\1992\CG92-162.jpg</v>
      </c>
    </row>
    <row r="4342" spans="1:13" x14ac:dyDescent="0.25">
      <c r="A4342" t="s">
        <v>2063</v>
      </c>
      <c r="B4342">
        <v>436923</v>
      </c>
      <c r="C4342">
        <v>5897453</v>
      </c>
      <c r="D4342">
        <v>21</v>
      </c>
      <c r="E4342" t="s">
        <v>15</v>
      </c>
      <c r="F4342" t="s">
        <v>10267</v>
      </c>
      <c r="G4342">
        <v>4</v>
      </c>
      <c r="H4342" t="s">
        <v>2065</v>
      </c>
      <c r="I4342" t="s">
        <v>304</v>
      </c>
      <c r="J4342" t="s">
        <v>156</v>
      </c>
      <c r="K4342" t="s">
        <v>56</v>
      </c>
      <c r="L4342" t="s">
        <v>5059</v>
      </c>
      <c r="M4342" s="3" t="str">
        <f>HYPERLINK("..\..\Imagery\ScannedPhotos\1984\NN84-061.3.jpg")</f>
        <v>..\..\Imagery\ScannedPhotos\1984\NN84-061.3.jpg</v>
      </c>
    </row>
    <row r="4343" spans="1:13" x14ac:dyDescent="0.25">
      <c r="A4343" t="s">
        <v>6368</v>
      </c>
      <c r="B4343">
        <v>433450</v>
      </c>
      <c r="C4343">
        <v>5898751</v>
      </c>
      <c r="D4343">
        <v>21</v>
      </c>
      <c r="E4343" t="s">
        <v>15</v>
      </c>
      <c r="F4343" t="s">
        <v>10268</v>
      </c>
      <c r="G4343">
        <v>3</v>
      </c>
      <c r="H4343" t="s">
        <v>2065</v>
      </c>
      <c r="I4343" t="s">
        <v>129</v>
      </c>
      <c r="J4343" t="s">
        <v>156</v>
      </c>
      <c r="K4343" t="s">
        <v>20</v>
      </c>
      <c r="L4343" t="s">
        <v>10269</v>
      </c>
      <c r="M4343" s="3" t="str">
        <f>HYPERLINK("..\..\Imagery\ScannedPhotos\1984\NN84-067.2.jpg")</f>
        <v>..\..\Imagery\ScannedPhotos\1984\NN84-067.2.jpg</v>
      </c>
    </row>
    <row r="4344" spans="1:13" x14ac:dyDescent="0.25">
      <c r="A4344" t="s">
        <v>10270</v>
      </c>
      <c r="B4344">
        <v>443316</v>
      </c>
      <c r="C4344">
        <v>6025457</v>
      </c>
      <c r="D4344">
        <v>21</v>
      </c>
      <c r="E4344" t="s">
        <v>15</v>
      </c>
      <c r="F4344" t="s">
        <v>10271</v>
      </c>
      <c r="G4344">
        <v>2</v>
      </c>
      <c r="H4344" t="s">
        <v>1862</v>
      </c>
      <c r="I4344" t="s">
        <v>47</v>
      </c>
      <c r="J4344" t="s">
        <v>1863</v>
      </c>
      <c r="K4344" t="s">
        <v>228</v>
      </c>
      <c r="L4344" t="s">
        <v>10272</v>
      </c>
      <c r="M4344" s="3" t="str">
        <f>HYPERLINK("..\..\Imagery\ScannedPhotos\1979\CG79-808.2.jpg")</f>
        <v>..\..\Imagery\ScannedPhotos\1979\CG79-808.2.jpg</v>
      </c>
    </row>
    <row r="4345" spans="1:13" x14ac:dyDescent="0.25">
      <c r="A4345" t="s">
        <v>10270</v>
      </c>
      <c r="B4345">
        <v>443316</v>
      </c>
      <c r="C4345">
        <v>6025457</v>
      </c>
      <c r="D4345">
        <v>21</v>
      </c>
      <c r="E4345" t="s">
        <v>15</v>
      </c>
      <c r="F4345" t="s">
        <v>10273</v>
      </c>
      <c r="G4345">
        <v>2</v>
      </c>
      <c r="H4345" t="s">
        <v>1862</v>
      </c>
      <c r="I4345" t="s">
        <v>147</v>
      </c>
      <c r="J4345" t="s">
        <v>1863</v>
      </c>
      <c r="K4345" t="s">
        <v>20</v>
      </c>
      <c r="L4345" t="s">
        <v>10274</v>
      </c>
      <c r="M4345" s="3" t="str">
        <f>HYPERLINK("..\..\Imagery\ScannedPhotos\1979\CG79-808.1.jpg")</f>
        <v>..\..\Imagery\ScannedPhotos\1979\CG79-808.1.jpg</v>
      </c>
    </row>
    <row r="4346" spans="1:13" x14ac:dyDescent="0.25">
      <c r="A4346" t="s">
        <v>10275</v>
      </c>
      <c r="B4346">
        <v>443335</v>
      </c>
      <c r="C4346">
        <v>6026039</v>
      </c>
      <c r="D4346">
        <v>21</v>
      </c>
      <c r="E4346" t="s">
        <v>15</v>
      </c>
      <c r="F4346" t="s">
        <v>10276</v>
      </c>
      <c r="G4346">
        <v>1</v>
      </c>
      <c r="H4346" t="s">
        <v>1862</v>
      </c>
      <c r="I4346" t="s">
        <v>52</v>
      </c>
      <c r="J4346" t="s">
        <v>1863</v>
      </c>
      <c r="K4346" t="s">
        <v>20</v>
      </c>
      <c r="L4346" t="s">
        <v>10277</v>
      </c>
      <c r="M4346" s="3" t="str">
        <f>HYPERLINK("..\..\Imagery\ScannedPhotos\1979\CG79-809.jpg")</f>
        <v>..\..\Imagery\ScannedPhotos\1979\CG79-809.jpg</v>
      </c>
    </row>
    <row r="4347" spans="1:13" x14ac:dyDescent="0.25">
      <c r="A4347" t="s">
        <v>4102</v>
      </c>
      <c r="B4347">
        <v>453154</v>
      </c>
      <c r="C4347">
        <v>6014795</v>
      </c>
      <c r="D4347">
        <v>21</v>
      </c>
      <c r="E4347" t="s">
        <v>15</v>
      </c>
      <c r="F4347" t="s">
        <v>10278</v>
      </c>
      <c r="G4347">
        <v>3</v>
      </c>
      <c r="H4347" t="s">
        <v>4104</v>
      </c>
      <c r="I4347" t="s">
        <v>79</v>
      </c>
      <c r="J4347" t="s">
        <v>4105</v>
      </c>
      <c r="K4347" t="s">
        <v>20</v>
      </c>
      <c r="L4347" t="s">
        <v>3364</v>
      </c>
      <c r="M4347" s="3" t="str">
        <f>HYPERLINK("..\..\Imagery\ScannedPhotos\1979\CG79-814.1.jpg")</f>
        <v>..\..\Imagery\ScannedPhotos\1979\CG79-814.1.jpg</v>
      </c>
    </row>
    <row r="4348" spans="1:13" x14ac:dyDescent="0.25">
      <c r="A4348" t="s">
        <v>4102</v>
      </c>
      <c r="B4348">
        <v>453154</v>
      </c>
      <c r="C4348">
        <v>6014795</v>
      </c>
      <c r="D4348">
        <v>21</v>
      </c>
      <c r="E4348" t="s">
        <v>15</v>
      </c>
      <c r="F4348" t="s">
        <v>10279</v>
      </c>
      <c r="G4348">
        <v>3</v>
      </c>
      <c r="H4348" t="s">
        <v>4104</v>
      </c>
      <c r="I4348" t="s">
        <v>137</v>
      </c>
      <c r="J4348" t="s">
        <v>4105</v>
      </c>
      <c r="K4348" t="s">
        <v>20</v>
      </c>
      <c r="L4348" t="s">
        <v>3364</v>
      </c>
      <c r="M4348" s="3" t="str">
        <f>HYPERLINK("..\..\Imagery\ScannedPhotos\1979\CG79-814.3.jpg")</f>
        <v>..\..\Imagery\ScannedPhotos\1979\CG79-814.3.jpg</v>
      </c>
    </row>
    <row r="4349" spans="1:13" x14ac:dyDescent="0.25">
      <c r="A4349" t="s">
        <v>10280</v>
      </c>
      <c r="B4349">
        <v>549322</v>
      </c>
      <c r="C4349">
        <v>5735846</v>
      </c>
      <c r="D4349">
        <v>21</v>
      </c>
      <c r="E4349" t="s">
        <v>15</v>
      </c>
      <c r="F4349" t="s">
        <v>10281</v>
      </c>
      <c r="G4349">
        <v>4</v>
      </c>
      <c r="H4349" t="s">
        <v>7220</v>
      </c>
      <c r="I4349" t="s">
        <v>69</v>
      </c>
      <c r="J4349" t="s">
        <v>1738</v>
      </c>
      <c r="K4349" t="s">
        <v>20</v>
      </c>
      <c r="L4349" t="s">
        <v>10282</v>
      </c>
      <c r="M4349" s="3" t="str">
        <f>HYPERLINK("..\..\Imagery\ScannedPhotos\1993\CG93-306.4.jpg")</f>
        <v>..\..\Imagery\ScannedPhotos\1993\CG93-306.4.jpg</v>
      </c>
    </row>
    <row r="4350" spans="1:13" x14ac:dyDescent="0.25">
      <c r="A4350" t="s">
        <v>10283</v>
      </c>
      <c r="B4350">
        <v>542790</v>
      </c>
      <c r="C4350">
        <v>5738470</v>
      </c>
      <c r="D4350">
        <v>21</v>
      </c>
      <c r="E4350" t="s">
        <v>15</v>
      </c>
      <c r="F4350" t="s">
        <v>10284</v>
      </c>
      <c r="G4350">
        <v>1</v>
      </c>
      <c r="H4350" t="s">
        <v>7220</v>
      </c>
      <c r="I4350" t="s">
        <v>74</v>
      </c>
      <c r="J4350" t="s">
        <v>1738</v>
      </c>
      <c r="K4350" t="s">
        <v>56</v>
      </c>
      <c r="L4350" t="s">
        <v>10285</v>
      </c>
      <c r="M4350" s="3" t="str">
        <f>HYPERLINK("..\..\Imagery\ScannedPhotos\1993\CG93-309.jpg")</f>
        <v>..\..\Imagery\ScannedPhotos\1993\CG93-309.jpg</v>
      </c>
    </row>
    <row r="4351" spans="1:13" x14ac:dyDescent="0.25">
      <c r="A4351" t="s">
        <v>10286</v>
      </c>
      <c r="B4351">
        <v>522620</v>
      </c>
      <c r="C4351">
        <v>5732467</v>
      </c>
      <c r="D4351">
        <v>21</v>
      </c>
      <c r="E4351" t="s">
        <v>15</v>
      </c>
      <c r="F4351" t="s">
        <v>10287</v>
      </c>
      <c r="G4351">
        <v>2</v>
      </c>
      <c r="H4351" t="s">
        <v>7220</v>
      </c>
      <c r="I4351" t="s">
        <v>41</v>
      </c>
      <c r="J4351" t="s">
        <v>1738</v>
      </c>
      <c r="K4351" t="s">
        <v>20</v>
      </c>
      <c r="L4351" t="s">
        <v>10288</v>
      </c>
      <c r="M4351" s="3" t="str">
        <f>HYPERLINK("..\..\Imagery\ScannedPhotos\1993\CG93-324.1.jpg")</f>
        <v>..\..\Imagery\ScannedPhotos\1993\CG93-324.1.jpg</v>
      </c>
    </row>
    <row r="4352" spans="1:13" x14ac:dyDescent="0.25">
      <c r="A4352" t="s">
        <v>1877</v>
      </c>
      <c r="B4352">
        <v>422236</v>
      </c>
      <c r="C4352">
        <v>6081732</v>
      </c>
      <c r="D4352">
        <v>21</v>
      </c>
      <c r="E4352" t="s">
        <v>15</v>
      </c>
      <c r="F4352" t="s">
        <v>10289</v>
      </c>
      <c r="G4352">
        <v>4</v>
      </c>
      <c r="H4352" t="s">
        <v>1207</v>
      </c>
      <c r="I4352" t="s">
        <v>65</v>
      </c>
      <c r="J4352" t="s">
        <v>1208</v>
      </c>
      <c r="K4352" t="s">
        <v>20</v>
      </c>
      <c r="L4352" t="s">
        <v>10290</v>
      </c>
      <c r="M4352" s="3" t="str">
        <f>HYPERLINK("..\..\Imagery\ScannedPhotos\1979\CG79-119.3.jpg")</f>
        <v>..\..\Imagery\ScannedPhotos\1979\CG79-119.3.jpg</v>
      </c>
    </row>
    <row r="4353" spans="1:13" x14ac:dyDescent="0.25">
      <c r="A4353" t="s">
        <v>6083</v>
      </c>
      <c r="B4353">
        <v>525077</v>
      </c>
      <c r="C4353">
        <v>5952750</v>
      </c>
      <c r="D4353">
        <v>21</v>
      </c>
      <c r="E4353" t="s">
        <v>15</v>
      </c>
      <c r="F4353" t="s">
        <v>10291</v>
      </c>
      <c r="G4353">
        <v>2</v>
      </c>
      <c r="H4353" t="s">
        <v>718</v>
      </c>
      <c r="I4353" t="s">
        <v>79</v>
      </c>
      <c r="J4353" t="s">
        <v>48</v>
      </c>
      <c r="K4353" t="s">
        <v>20</v>
      </c>
      <c r="L4353" t="s">
        <v>6085</v>
      </c>
      <c r="M4353" s="3" t="str">
        <f>HYPERLINK("..\..\Imagery\ScannedPhotos\1981\VO81-089.2.jpg")</f>
        <v>..\..\Imagery\ScannedPhotos\1981\VO81-089.2.jpg</v>
      </c>
    </row>
    <row r="4354" spans="1:13" x14ac:dyDescent="0.25">
      <c r="A4354" t="s">
        <v>10292</v>
      </c>
      <c r="B4354">
        <v>430408</v>
      </c>
      <c r="C4354">
        <v>5870539</v>
      </c>
      <c r="D4354">
        <v>21</v>
      </c>
      <c r="E4354" t="s">
        <v>15</v>
      </c>
      <c r="F4354" t="s">
        <v>10293</v>
      </c>
      <c r="G4354">
        <v>1</v>
      </c>
      <c r="K4354" t="s">
        <v>20</v>
      </c>
      <c r="L4354" t="s">
        <v>10294</v>
      </c>
      <c r="M4354" s="3" t="str">
        <f>HYPERLINK("..\..\Imagery\ScannedPhotos\2007\CG07-007.jpg")</f>
        <v>..\..\Imagery\ScannedPhotos\2007\CG07-007.jpg</v>
      </c>
    </row>
    <row r="4355" spans="1:13" x14ac:dyDescent="0.25">
      <c r="A4355" t="s">
        <v>510</v>
      </c>
      <c r="B4355">
        <v>408614</v>
      </c>
      <c r="C4355">
        <v>5852516</v>
      </c>
      <c r="D4355">
        <v>21</v>
      </c>
      <c r="E4355" t="s">
        <v>15</v>
      </c>
      <c r="F4355" t="s">
        <v>10295</v>
      </c>
      <c r="G4355">
        <v>8</v>
      </c>
      <c r="K4355" t="s">
        <v>20</v>
      </c>
      <c r="L4355" t="s">
        <v>10296</v>
      </c>
      <c r="M4355" s="3" t="str">
        <f>HYPERLINK("..\..\Imagery\ScannedPhotos\2007\CG07-023.1.jpg")</f>
        <v>..\..\Imagery\ScannedPhotos\2007\CG07-023.1.jpg</v>
      </c>
    </row>
    <row r="4356" spans="1:13" x14ac:dyDescent="0.25">
      <c r="A4356" t="s">
        <v>510</v>
      </c>
      <c r="B4356">
        <v>408614</v>
      </c>
      <c r="C4356">
        <v>5852516</v>
      </c>
      <c r="D4356">
        <v>21</v>
      </c>
      <c r="E4356" t="s">
        <v>15</v>
      </c>
      <c r="F4356" t="s">
        <v>10297</v>
      </c>
      <c r="G4356">
        <v>8</v>
      </c>
      <c r="K4356" t="s">
        <v>20</v>
      </c>
      <c r="L4356" t="s">
        <v>10298</v>
      </c>
      <c r="M4356" s="3" t="str">
        <f>HYPERLINK("..\..\Imagery\ScannedPhotos\2007\CG07-023.2.jpg")</f>
        <v>..\..\Imagery\ScannedPhotos\2007\CG07-023.2.jpg</v>
      </c>
    </row>
    <row r="4357" spans="1:13" x14ac:dyDescent="0.25">
      <c r="A4357" t="s">
        <v>510</v>
      </c>
      <c r="B4357">
        <v>408614</v>
      </c>
      <c r="C4357">
        <v>5852516</v>
      </c>
      <c r="D4357">
        <v>21</v>
      </c>
      <c r="E4357" t="s">
        <v>15</v>
      </c>
      <c r="F4357" t="s">
        <v>10299</v>
      </c>
      <c r="G4357">
        <v>8</v>
      </c>
      <c r="K4357" t="s">
        <v>20</v>
      </c>
      <c r="L4357" t="s">
        <v>10300</v>
      </c>
      <c r="M4357" s="3" t="str">
        <f>HYPERLINK("..\..\Imagery\ScannedPhotos\2007\CG07-023.3.jpg")</f>
        <v>..\..\Imagery\ScannedPhotos\2007\CG07-023.3.jpg</v>
      </c>
    </row>
    <row r="4358" spans="1:13" x14ac:dyDescent="0.25">
      <c r="A4358" t="s">
        <v>510</v>
      </c>
      <c r="B4358">
        <v>408614</v>
      </c>
      <c r="C4358">
        <v>5852516</v>
      </c>
      <c r="D4358">
        <v>21</v>
      </c>
      <c r="E4358" t="s">
        <v>15</v>
      </c>
      <c r="F4358" t="s">
        <v>10301</v>
      </c>
      <c r="G4358">
        <v>8</v>
      </c>
      <c r="K4358" t="s">
        <v>20</v>
      </c>
      <c r="L4358" t="s">
        <v>10302</v>
      </c>
      <c r="M4358" s="3" t="str">
        <f>HYPERLINK("..\..\Imagery\ScannedPhotos\2007\CG07-023.4.jpg")</f>
        <v>..\..\Imagery\ScannedPhotos\2007\CG07-023.4.jpg</v>
      </c>
    </row>
    <row r="4359" spans="1:13" x14ac:dyDescent="0.25">
      <c r="A4359" t="s">
        <v>8354</v>
      </c>
      <c r="B4359">
        <v>579039</v>
      </c>
      <c r="C4359">
        <v>5852779</v>
      </c>
      <c r="D4359">
        <v>21</v>
      </c>
      <c r="E4359" t="s">
        <v>15</v>
      </c>
      <c r="F4359" t="s">
        <v>10303</v>
      </c>
      <c r="G4359">
        <v>3</v>
      </c>
      <c r="H4359" t="s">
        <v>2945</v>
      </c>
      <c r="I4359" t="s">
        <v>30</v>
      </c>
      <c r="J4359" t="s">
        <v>300</v>
      </c>
      <c r="K4359" t="s">
        <v>20</v>
      </c>
      <c r="L4359" t="s">
        <v>8356</v>
      </c>
      <c r="M4359" s="3" t="str">
        <f>HYPERLINK("..\..\Imagery\ScannedPhotos\1986\CG86-523.3.jpg")</f>
        <v>..\..\Imagery\ScannedPhotos\1986\CG86-523.3.jpg</v>
      </c>
    </row>
    <row r="4360" spans="1:13" x14ac:dyDescent="0.25">
      <c r="A4360" t="s">
        <v>1081</v>
      </c>
      <c r="B4360">
        <v>566494</v>
      </c>
      <c r="C4360">
        <v>5843020</v>
      </c>
      <c r="D4360">
        <v>21</v>
      </c>
      <c r="E4360" t="s">
        <v>15</v>
      </c>
      <c r="F4360" t="s">
        <v>10304</v>
      </c>
      <c r="G4360">
        <v>3</v>
      </c>
      <c r="H4360" t="s">
        <v>288</v>
      </c>
      <c r="I4360" t="s">
        <v>375</v>
      </c>
      <c r="J4360" t="s">
        <v>289</v>
      </c>
      <c r="K4360" t="s">
        <v>20</v>
      </c>
      <c r="L4360" t="s">
        <v>1083</v>
      </c>
      <c r="M4360" s="3" t="str">
        <f>HYPERLINK("..\..\Imagery\ScannedPhotos\1986\CG86-668.2.jpg")</f>
        <v>..\..\Imagery\ScannedPhotos\1986\CG86-668.2.jpg</v>
      </c>
    </row>
    <row r="4361" spans="1:13" x14ac:dyDescent="0.25">
      <c r="A4361" t="s">
        <v>1081</v>
      </c>
      <c r="B4361">
        <v>566494</v>
      </c>
      <c r="C4361">
        <v>5843020</v>
      </c>
      <c r="D4361">
        <v>21</v>
      </c>
      <c r="E4361" t="s">
        <v>15</v>
      </c>
      <c r="F4361" t="s">
        <v>10305</v>
      </c>
      <c r="G4361">
        <v>3</v>
      </c>
      <c r="H4361" t="s">
        <v>288</v>
      </c>
      <c r="I4361" t="s">
        <v>85</v>
      </c>
      <c r="J4361" t="s">
        <v>289</v>
      </c>
      <c r="K4361" t="s">
        <v>20</v>
      </c>
      <c r="L4361" t="s">
        <v>1083</v>
      </c>
      <c r="M4361" s="3" t="str">
        <f>HYPERLINK("..\..\Imagery\ScannedPhotos\1986\CG86-668.1.jpg")</f>
        <v>..\..\Imagery\ScannedPhotos\1986\CG86-668.1.jpg</v>
      </c>
    </row>
    <row r="4362" spans="1:13" x14ac:dyDescent="0.25">
      <c r="A4362" t="s">
        <v>4111</v>
      </c>
      <c r="B4362">
        <v>573347</v>
      </c>
      <c r="C4362">
        <v>5918782</v>
      </c>
      <c r="D4362">
        <v>21</v>
      </c>
      <c r="E4362" t="s">
        <v>15</v>
      </c>
      <c r="F4362" t="s">
        <v>10306</v>
      </c>
      <c r="G4362">
        <v>2</v>
      </c>
      <c r="H4362" t="s">
        <v>1577</v>
      </c>
      <c r="I4362" t="s">
        <v>209</v>
      </c>
      <c r="J4362" t="s">
        <v>1374</v>
      </c>
      <c r="K4362" t="s">
        <v>20</v>
      </c>
      <c r="L4362" t="s">
        <v>4113</v>
      </c>
      <c r="M4362" s="3" t="str">
        <f>HYPERLINK("..\..\Imagery\ScannedPhotos\1985\GM85-631.1.jpg")</f>
        <v>..\..\Imagery\ScannedPhotos\1985\GM85-631.1.jpg</v>
      </c>
    </row>
    <row r="4363" spans="1:13" x14ac:dyDescent="0.25">
      <c r="A4363" t="s">
        <v>8934</v>
      </c>
      <c r="B4363">
        <v>378292</v>
      </c>
      <c r="C4363">
        <v>6080739</v>
      </c>
      <c r="D4363">
        <v>21</v>
      </c>
      <c r="E4363" t="s">
        <v>15</v>
      </c>
      <c r="F4363" t="s">
        <v>10307</v>
      </c>
      <c r="G4363">
        <v>3</v>
      </c>
      <c r="H4363" t="s">
        <v>2011</v>
      </c>
      <c r="I4363" t="s">
        <v>41</v>
      </c>
      <c r="J4363" t="s">
        <v>1624</v>
      </c>
      <c r="K4363" t="s">
        <v>20</v>
      </c>
      <c r="L4363" t="s">
        <v>10308</v>
      </c>
      <c r="M4363" s="3" t="str">
        <f>HYPERLINK("..\..\Imagery\ScannedPhotos\1978\AL78-136.2.jpg")</f>
        <v>..\..\Imagery\ScannedPhotos\1978\AL78-136.2.jpg</v>
      </c>
    </row>
    <row r="4364" spans="1:13" x14ac:dyDescent="0.25">
      <c r="A4364" t="s">
        <v>8934</v>
      </c>
      <c r="B4364">
        <v>378292</v>
      </c>
      <c r="C4364">
        <v>6080739</v>
      </c>
      <c r="D4364">
        <v>21</v>
      </c>
      <c r="E4364" t="s">
        <v>15</v>
      </c>
      <c r="F4364" t="s">
        <v>10309</v>
      </c>
      <c r="G4364">
        <v>3</v>
      </c>
      <c r="H4364" t="s">
        <v>2011</v>
      </c>
      <c r="I4364" t="s">
        <v>85</v>
      </c>
      <c r="J4364" t="s">
        <v>1624</v>
      </c>
      <c r="K4364" t="s">
        <v>20</v>
      </c>
      <c r="L4364" t="s">
        <v>10310</v>
      </c>
      <c r="M4364" s="3" t="str">
        <f>HYPERLINK("..\..\Imagery\ScannedPhotos\1978\AL78-136.3.jpg")</f>
        <v>..\..\Imagery\ScannedPhotos\1978\AL78-136.3.jpg</v>
      </c>
    </row>
    <row r="4365" spans="1:13" x14ac:dyDescent="0.25">
      <c r="A4365" t="s">
        <v>10311</v>
      </c>
      <c r="B4365">
        <v>542496</v>
      </c>
      <c r="C4365">
        <v>5752809</v>
      </c>
      <c r="D4365">
        <v>21</v>
      </c>
      <c r="E4365" t="s">
        <v>15</v>
      </c>
      <c r="F4365" t="s">
        <v>10312</v>
      </c>
      <c r="G4365">
        <v>3</v>
      </c>
      <c r="H4365" t="s">
        <v>6322</v>
      </c>
      <c r="I4365" t="s">
        <v>65</v>
      </c>
      <c r="J4365" t="s">
        <v>996</v>
      </c>
      <c r="K4365" t="s">
        <v>20</v>
      </c>
      <c r="L4365" t="s">
        <v>1236</v>
      </c>
      <c r="M4365" s="3" t="str">
        <f>HYPERLINK("..\..\Imagery\ScannedPhotos\1993\VN93-562.3.jpg")</f>
        <v>..\..\Imagery\ScannedPhotos\1993\VN93-562.3.jpg</v>
      </c>
    </row>
    <row r="4366" spans="1:13" x14ac:dyDescent="0.25">
      <c r="A4366" t="s">
        <v>2051</v>
      </c>
      <c r="B4366">
        <v>423492</v>
      </c>
      <c r="C4366">
        <v>5890663</v>
      </c>
      <c r="D4366">
        <v>21</v>
      </c>
      <c r="E4366" t="s">
        <v>15</v>
      </c>
      <c r="F4366" t="s">
        <v>10313</v>
      </c>
      <c r="G4366">
        <v>5</v>
      </c>
      <c r="H4366" t="s">
        <v>1251</v>
      </c>
      <c r="I4366" t="s">
        <v>375</v>
      </c>
      <c r="J4366" t="s">
        <v>563</v>
      </c>
      <c r="K4366" t="s">
        <v>20</v>
      </c>
      <c r="L4366" t="s">
        <v>10314</v>
      </c>
      <c r="M4366" s="3" t="str">
        <f>HYPERLINK("..\..\Imagery\ScannedPhotos\1995\VN95-014.2.jpg")</f>
        <v>..\..\Imagery\ScannedPhotos\1995\VN95-014.2.jpg</v>
      </c>
    </row>
    <row r="4367" spans="1:13" x14ac:dyDescent="0.25">
      <c r="A4367" t="s">
        <v>2051</v>
      </c>
      <c r="B4367">
        <v>423492</v>
      </c>
      <c r="C4367">
        <v>5890663</v>
      </c>
      <c r="D4367">
        <v>21</v>
      </c>
      <c r="E4367" t="s">
        <v>15</v>
      </c>
      <c r="F4367" t="s">
        <v>10315</v>
      </c>
      <c r="G4367">
        <v>5</v>
      </c>
      <c r="H4367" t="s">
        <v>1251</v>
      </c>
      <c r="I4367" t="s">
        <v>94</v>
      </c>
      <c r="J4367" t="s">
        <v>563</v>
      </c>
      <c r="K4367" t="s">
        <v>20</v>
      </c>
      <c r="L4367" t="s">
        <v>10316</v>
      </c>
      <c r="M4367" s="3" t="str">
        <f>HYPERLINK("..\..\Imagery\ScannedPhotos\1995\VN95-014.3.jpg")</f>
        <v>..\..\Imagery\ScannedPhotos\1995\VN95-014.3.jpg</v>
      </c>
    </row>
    <row r="4368" spans="1:13" x14ac:dyDescent="0.25">
      <c r="A4368" t="s">
        <v>2051</v>
      </c>
      <c r="B4368">
        <v>423492</v>
      </c>
      <c r="C4368">
        <v>5890663</v>
      </c>
      <c r="D4368">
        <v>21</v>
      </c>
      <c r="E4368" t="s">
        <v>15</v>
      </c>
      <c r="F4368" t="s">
        <v>10317</v>
      </c>
      <c r="G4368">
        <v>5</v>
      </c>
      <c r="H4368" t="s">
        <v>1251</v>
      </c>
      <c r="I4368" t="s">
        <v>209</v>
      </c>
      <c r="J4368" t="s">
        <v>563</v>
      </c>
      <c r="K4368" t="s">
        <v>20</v>
      </c>
      <c r="L4368" t="s">
        <v>6358</v>
      </c>
      <c r="M4368" s="3" t="str">
        <f>HYPERLINK("..\..\Imagery\ScannedPhotos\1995\VN95-014.4.jpg")</f>
        <v>..\..\Imagery\ScannedPhotos\1995\VN95-014.4.jpg</v>
      </c>
    </row>
    <row r="4369" spans="1:14" x14ac:dyDescent="0.25">
      <c r="A4369" t="s">
        <v>2051</v>
      </c>
      <c r="B4369">
        <v>423492</v>
      </c>
      <c r="C4369">
        <v>5890663</v>
      </c>
      <c r="D4369">
        <v>21</v>
      </c>
      <c r="E4369" t="s">
        <v>15</v>
      </c>
      <c r="F4369" t="s">
        <v>10318</v>
      </c>
      <c r="G4369">
        <v>5</v>
      </c>
      <c r="H4369" t="s">
        <v>1251</v>
      </c>
      <c r="I4369" t="s">
        <v>386</v>
      </c>
      <c r="J4369" t="s">
        <v>563</v>
      </c>
      <c r="K4369" t="s">
        <v>20</v>
      </c>
      <c r="L4369" t="s">
        <v>10319</v>
      </c>
      <c r="M4369" s="3" t="str">
        <f>HYPERLINK("..\..\Imagery\ScannedPhotos\1995\VN95-014.5.jpg")</f>
        <v>..\..\Imagery\ScannedPhotos\1995\VN95-014.5.jpg</v>
      </c>
    </row>
    <row r="4370" spans="1:14" x14ac:dyDescent="0.25">
      <c r="A4370" t="s">
        <v>10320</v>
      </c>
      <c r="B4370">
        <v>520848</v>
      </c>
      <c r="C4370">
        <v>5884694</v>
      </c>
      <c r="D4370">
        <v>21</v>
      </c>
      <c r="E4370" t="s">
        <v>15</v>
      </c>
      <c r="F4370" t="s">
        <v>10321</v>
      </c>
      <c r="G4370">
        <v>1</v>
      </c>
      <c r="H4370" t="s">
        <v>2084</v>
      </c>
      <c r="I4370" t="s">
        <v>214</v>
      </c>
      <c r="J4370" t="s">
        <v>1014</v>
      </c>
      <c r="K4370" t="s">
        <v>56</v>
      </c>
      <c r="L4370" t="s">
        <v>10322</v>
      </c>
      <c r="M4370" s="3" t="str">
        <f>HYPERLINK("..\..\Imagery\ScannedPhotos\1985\CG85-202.jpg")</f>
        <v>..\..\Imagery\ScannedPhotos\1985\CG85-202.jpg</v>
      </c>
    </row>
    <row r="4371" spans="1:14" x14ac:dyDescent="0.25">
      <c r="A4371" t="s">
        <v>10323</v>
      </c>
      <c r="B4371">
        <v>523858</v>
      </c>
      <c r="C4371">
        <v>5882665</v>
      </c>
      <c r="D4371">
        <v>21</v>
      </c>
      <c r="E4371" t="s">
        <v>15</v>
      </c>
      <c r="F4371" t="s">
        <v>10324</v>
      </c>
      <c r="G4371">
        <v>2</v>
      </c>
      <c r="H4371" t="s">
        <v>2084</v>
      </c>
      <c r="I4371" t="s">
        <v>304</v>
      </c>
      <c r="J4371" t="s">
        <v>1014</v>
      </c>
      <c r="K4371" t="s">
        <v>56</v>
      </c>
      <c r="L4371" t="s">
        <v>6896</v>
      </c>
      <c r="M4371" s="3" t="str">
        <f>HYPERLINK("..\..\Imagery\ScannedPhotos\1985\CG85-214.2.jpg")</f>
        <v>..\..\Imagery\ScannedPhotos\1985\CG85-214.2.jpg</v>
      </c>
    </row>
    <row r="4372" spans="1:14" x14ac:dyDescent="0.25">
      <c r="A4372" t="s">
        <v>10323</v>
      </c>
      <c r="B4372">
        <v>523858</v>
      </c>
      <c r="C4372">
        <v>5882665</v>
      </c>
      <c r="D4372">
        <v>21</v>
      </c>
      <c r="E4372" t="s">
        <v>15</v>
      </c>
      <c r="F4372" t="s">
        <v>10325</v>
      </c>
      <c r="G4372">
        <v>2</v>
      </c>
      <c r="H4372" t="s">
        <v>2084</v>
      </c>
      <c r="I4372" t="s">
        <v>418</v>
      </c>
      <c r="J4372" t="s">
        <v>1014</v>
      </c>
      <c r="K4372" t="s">
        <v>56</v>
      </c>
      <c r="L4372" t="s">
        <v>6896</v>
      </c>
      <c r="M4372" s="3" t="str">
        <f>HYPERLINK("..\..\Imagery\ScannedPhotos\1985\CG85-214.1.jpg")</f>
        <v>..\..\Imagery\ScannedPhotos\1985\CG85-214.1.jpg</v>
      </c>
    </row>
    <row r="4373" spans="1:14" x14ac:dyDescent="0.25">
      <c r="A4373" t="s">
        <v>10326</v>
      </c>
      <c r="B4373">
        <v>580370</v>
      </c>
      <c r="C4373">
        <v>5801600</v>
      </c>
      <c r="D4373">
        <v>21</v>
      </c>
      <c r="E4373" t="s">
        <v>15</v>
      </c>
      <c r="F4373" t="s">
        <v>10327</v>
      </c>
      <c r="G4373">
        <v>2</v>
      </c>
      <c r="H4373" t="s">
        <v>10328</v>
      </c>
      <c r="I4373" t="s">
        <v>143</v>
      </c>
      <c r="J4373" t="s">
        <v>10329</v>
      </c>
      <c r="K4373" t="s">
        <v>20</v>
      </c>
      <c r="L4373" t="s">
        <v>10330</v>
      </c>
      <c r="M4373" s="3" t="str">
        <f>HYPERLINK("..\..\Imagery\ScannedPhotos\1987\VN87-490.2E.jpg")</f>
        <v>..\..\Imagery\ScannedPhotos\1987\VN87-490.2E.jpg</v>
      </c>
      <c r="N4373" t="s">
        <v>1808</v>
      </c>
    </row>
    <row r="4374" spans="1:14" x14ac:dyDescent="0.25">
      <c r="A4374" t="s">
        <v>10331</v>
      </c>
      <c r="B4374">
        <v>585299</v>
      </c>
      <c r="C4374">
        <v>5797251</v>
      </c>
      <c r="D4374">
        <v>21</v>
      </c>
      <c r="E4374" t="s">
        <v>15</v>
      </c>
      <c r="F4374" t="s">
        <v>10332</v>
      </c>
      <c r="G4374">
        <v>2</v>
      </c>
      <c r="H4374" t="s">
        <v>813</v>
      </c>
      <c r="I4374" t="s">
        <v>137</v>
      </c>
      <c r="J4374" t="s">
        <v>814</v>
      </c>
      <c r="K4374" t="s">
        <v>228</v>
      </c>
      <c r="L4374" t="s">
        <v>10333</v>
      </c>
      <c r="M4374" s="3" t="str">
        <f>HYPERLINK("..\..\Imagery\ScannedPhotos\1987\VN87-506.2E.jpg")</f>
        <v>..\..\Imagery\ScannedPhotos\1987\VN87-506.2E.jpg</v>
      </c>
      <c r="N4374" t="s">
        <v>1808</v>
      </c>
    </row>
    <row r="4375" spans="1:14" x14ac:dyDescent="0.25">
      <c r="A4375" t="s">
        <v>10334</v>
      </c>
      <c r="B4375">
        <v>577576</v>
      </c>
      <c r="C4375">
        <v>5800491</v>
      </c>
      <c r="D4375">
        <v>21</v>
      </c>
      <c r="E4375" t="s">
        <v>15</v>
      </c>
      <c r="F4375" t="s">
        <v>10335</v>
      </c>
      <c r="G4375">
        <v>1</v>
      </c>
      <c r="H4375" t="s">
        <v>3016</v>
      </c>
      <c r="I4375" t="s">
        <v>195</v>
      </c>
      <c r="J4375" t="s">
        <v>1651</v>
      </c>
      <c r="K4375" t="s">
        <v>228</v>
      </c>
      <c r="L4375" t="s">
        <v>10336</v>
      </c>
      <c r="M4375" s="3" t="str">
        <f>HYPERLINK("..\..\Imagery\ScannedPhotos\1987\XX87-052E.jpg")</f>
        <v>..\..\Imagery\ScannedPhotos\1987\XX87-052E.jpg</v>
      </c>
      <c r="N4375" t="s">
        <v>1808</v>
      </c>
    </row>
    <row r="4376" spans="1:14" x14ac:dyDescent="0.25">
      <c r="A4376" t="s">
        <v>3271</v>
      </c>
      <c r="B4376">
        <v>582152</v>
      </c>
      <c r="C4376">
        <v>5771688</v>
      </c>
      <c r="D4376">
        <v>21</v>
      </c>
      <c r="E4376" t="s">
        <v>15</v>
      </c>
      <c r="F4376" t="s">
        <v>10337</v>
      </c>
      <c r="G4376">
        <v>5</v>
      </c>
      <c r="H4376" t="s">
        <v>1066</v>
      </c>
      <c r="I4376" t="s">
        <v>18</v>
      </c>
      <c r="J4376" t="s">
        <v>36</v>
      </c>
      <c r="K4376" t="s">
        <v>228</v>
      </c>
      <c r="L4376" t="s">
        <v>10338</v>
      </c>
      <c r="M4376" s="3" t="str">
        <f>HYPERLINK("..\..\Imagery\ScannedPhotos\1987\CG87-425.5E.jpg")</f>
        <v>..\..\Imagery\ScannedPhotos\1987\CG87-425.5E.jpg</v>
      </c>
      <c r="N4376" t="s">
        <v>1808</v>
      </c>
    </row>
    <row r="4377" spans="1:14" x14ac:dyDescent="0.25">
      <c r="A4377" t="s">
        <v>10339</v>
      </c>
      <c r="B4377">
        <v>490674</v>
      </c>
      <c r="C4377">
        <v>6049235</v>
      </c>
      <c r="D4377">
        <v>21</v>
      </c>
      <c r="E4377" t="s">
        <v>15</v>
      </c>
      <c r="F4377" t="s">
        <v>10340</v>
      </c>
      <c r="G4377">
        <v>2</v>
      </c>
      <c r="H4377" t="s">
        <v>700</v>
      </c>
      <c r="I4377" t="s">
        <v>35</v>
      </c>
      <c r="J4377" t="s">
        <v>210</v>
      </c>
      <c r="K4377" t="s">
        <v>20</v>
      </c>
      <c r="L4377" t="s">
        <v>10341</v>
      </c>
      <c r="M4377" s="3" t="str">
        <f>HYPERLINK("..\..\Imagery\ScannedPhotos\1979\CG79-307.1.jpg")</f>
        <v>..\..\Imagery\ScannedPhotos\1979\CG79-307.1.jpg</v>
      </c>
    </row>
    <row r="4378" spans="1:14" x14ac:dyDescent="0.25">
      <c r="A4378" t="s">
        <v>10339</v>
      </c>
      <c r="B4378">
        <v>490674</v>
      </c>
      <c r="C4378">
        <v>6049235</v>
      </c>
      <c r="D4378">
        <v>21</v>
      </c>
      <c r="E4378" t="s">
        <v>15</v>
      </c>
      <c r="F4378" t="s">
        <v>10342</v>
      </c>
      <c r="G4378">
        <v>2</v>
      </c>
      <c r="H4378" t="s">
        <v>700</v>
      </c>
      <c r="I4378" t="s">
        <v>69</v>
      </c>
      <c r="J4378" t="s">
        <v>210</v>
      </c>
      <c r="K4378" t="s">
        <v>20</v>
      </c>
      <c r="L4378" t="s">
        <v>4772</v>
      </c>
      <c r="M4378" s="3" t="str">
        <f>HYPERLINK("..\..\Imagery\ScannedPhotos\1979\CG79-307.2.jpg")</f>
        <v>..\..\Imagery\ScannedPhotos\1979\CG79-307.2.jpg</v>
      </c>
    </row>
    <row r="4379" spans="1:14" x14ac:dyDescent="0.25">
      <c r="A4379" t="s">
        <v>10343</v>
      </c>
      <c r="B4379">
        <v>471304</v>
      </c>
      <c r="C4379">
        <v>6004532</v>
      </c>
      <c r="D4379">
        <v>21</v>
      </c>
      <c r="E4379" t="s">
        <v>15</v>
      </c>
      <c r="F4379" t="s">
        <v>10344</v>
      </c>
      <c r="G4379">
        <v>2</v>
      </c>
      <c r="H4379" t="s">
        <v>1326</v>
      </c>
      <c r="I4379" t="s">
        <v>214</v>
      </c>
      <c r="J4379" t="s">
        <v>95</v>
      </c>
      <c r="K4379" t="s">
        <v>20</v>
      </c>
      <c r="L4379" t="s">
        <v>10345</v>
      </c>
      <c r="M4379" s="3" t="str">
        <f>HYPERLINK("..\..\Imagery\ScannedPhotos\1980\CG80-349.1.jpg")</f>
        <v>..\..\Imagery\ScannedPhotos\1980\CG80-349.1.jpg</v>
      </c>
    </row>
    <row r="4380" spans="1:14" x14ac:dyDescent="0.25">
      <c r="A4380" t="s">
        <v>10176</v>
      </c>
      <c r="B4380">
        <v>568530</v>
      </c>
      <c r="C4380">
        <v>5916954</v>
      </c>
      <c r="D4380">
        <v>21</v>
      </c>
      <c r="E4380" t="s">
        <v>15</v>
      </c>
      <c r="F4380" t="s">
        <v>10346</v>
      </c>
      <c r="G4380">
        <v>4</v>
      </c>
      <c r="H4380" t="s">
        <v>1577</v>
      </c>
      <c r="I4380" t="s">
        <v>25</v>
      </c>
      <c r="J4380" t="s">
        <v>1374</v>
      </c>
      <c r="K4380" t="s">
        <v>20</v>
      </c>
      <c r="L4380" t="s">
        <v>10178</v>
      </c>
      <c r="M4380" s="3" t="str">
        <f>HYPERLINK("..\..\Imagery\ScannedPhotos\1985\GM85-635.2.jpg")</f>
        <v>..\..\Imagery\ScannedPhotos\1985\GM85-635.2.jpg</v>
      </c>
    </row>
    <row r="4381" spans="1:14" x14ac:dyDescent="0.25">
      <c r="A4381" t="s">
        <v>10176</v>
      </c>
      <c r="B4381">
        <v>568530</v>
      </c>
      <c r="C4381">
        <v>5916954</v>
      </c>
      <c r="D4381">
        <v>21</v>
      </c>
      <c r="E4381" t="s">
        <v>15</v>
      </c>
      <c r="F4381" t="s">
        <v>10347</v>
      </c>
      <c r="G4381">
        <v>4</v>
      </c>
      <c r="H4381" t="s">
        <v>1577</v>
      </c>
      <c r="I4381" t="s">
        <v>647</v>
      </c>
      <c r="J4381" t="s">
        <v>1374</v>
      </c>
      <c r="K4381" t="s">
        <v>20</v>
      </c>
      <c r="L4381" t="s">
        <v>10180</v>
      </c>
      <c r="M4381" s="3" t="str">
        <f>HYPERLINK("..\..\Imagery\ScannedPhotos\1985\GM85-635.4.jpg")</f>
        <v>..\..\Imagery\ScannedPhotos\1985\GM85-635.4.jpg</v>
      </c>
    </row>
    <row r="4382" spans="1:14" x14ac:dyDescent="0.25">
      <c r="A4382" t="s">
        <v>10348</v>
      </c>
      <c r="B4382">
        <v>443054</v>
      </c>
      <c r="C4382">
        <v>5764951</v>
      </c>
      <c r="D4382">
        <v>21</v>
      </c>
      <c r="E4382" t="s">
        <v>15</v>
      </c>
      <c r="F4382" t="s">
        <v>10349</v>
      </c>
      <c r="G4382">
        <v>2</v>
      </c>
      <c r="H4382" t="s">
        <v>1107</v>
      </c>
      <c r="I4382" t="s">
        <v>108</v>
      </c>
      <c r="J4382" t="s">
        <v>747</v>
      </c>
      <c r="K4382" t="s">
        <v>20</v>
      </c>
      <c r="L4382" t="s">
        <v>10350</v>
      </c>
      <c r="M4382" s="3" t="str">
        <f>HYPERLINK("..\..\Imagery\ScannedPhotos\1992\CG92-160.1.jpg")</f>
        <v>..\..\Imagery\ScannedPhotos\1992\CG92-160.1.jpg</v>
      </c>
    </row>
    <row r="4383" spans="1:14" x14ac:dyDescent="0.25">
      <c r="A4383" t="s">
        <v>10261</v>
      </c>
      <c r="B4383">
        <v>443229</v>
      </c>
      <c r="C4383">
        <v>5764594</v>
      </c>
      <c r="D4383">
        <v>21</v>
      </c>
      <c r="E4383" t="s">
        <v>15</v>
      </c>
      <c r="F4383" t="s">
        <v>10351</v>
      </c>
      <c r="G4383">
        <v>2</v>
      </c>
      <c r="H4383" t="s">
        <v>1107</v>
      </c>
      <c r="I4383" t="s">
        <v>129</v>
      </c>
      <c r="J4383" t="s">
        <v>747</v>
      </c>
      <c r="K4383" t="s">
        <v>20</v>
      </c>
      <c r="L4383" t="s">
        <v>4160</v>
      </c>
      <c r="M4383" s="3" t="str">
        <f>HYPERLINK("..\..\Imagery\ScannedPhotos\1992\CG92-161.1.jpg")</f>
        <v>..\..\Imagery\ScannedPhotos\1992\CG92-161.1.jpg</v>
      </c>
    </row>
    <row r="4384" spans="1:14" x14ac:dyDescent="0.25">
      <c r="A4384" t="s">
        <v>10352</v>
      </c>
      <c r="B4384">
        <v>376776</v>
      </c>
      <c r="C4384">
        <v>5905563</v>
      </c>
      <c r="D4384">
        <v>21</v>
      </c>
      <c r="E4384" t="s">
        <v>15</v>
      </c>
      <c r="F4384" t="s">
        <v>10353</v>
      </c>
      <c r="G4384">
        <v>2</v>
      </c>
      <c r="H4384" t="s">
        <v>1826</v>
      </c>
      <c r="I4384" t="s">
        <v>25</v>
      </c>
      <c r="J4384" t="s">
        <v>557</v>
      </c>
      <c r="K4384" t="s">
        <v>20</v>
      </c>
      <c r="L4384" t="s">
        <v>10354</v>
      </c>
      <c r="M4384" s="3" t="str">
        <f>HYPERLINK("..\..\Imagery\ScannedPhotos\1995\CG95-179.1.jpg")</f>
        <v>..\..\Imagery\ScannedPhotos\1995\CG95-179.1.jpg</v>
      </c>
    </row>
    <row r="4385" spans="1:13" x14ac:dyDescent="0.25">
      <c r="A4385" t="s">
        <v>10352</v>
      </c>
      <c r="B4385">
        <v>376776</v>
      </c>
      <c r="C4385">
        <v>5905563</v>
      </c>
      <c r="D4385">
        <v>21</v>
      </c>
      <c r="E4385" t="s">
        <v>15</v>
      </c>
      <c r="F4385" t="s">
        <v>10355</v>
      </c>
      <c r="G4385">
        <v>2</v>
      </c>
      <c r="H4385" t="s">
        <v>1826</v>
      </c>
      <c r="I4385" t="s">
        <v>360</v>
      </c>
      <c r="J4385" t="s">
        <v>557</v>
      </c>
      <c r="K4385" t="s">
        <v>20</v>
      </c>
      <c r="L4385" t="s">
        <v>10354</v>
      </c>
      <c r="M4385" s="3" t="str">
        <f>HYPERLINK("..\..\Imagery\ScannedPhotos\1995\CG95-179.2.jpg")</f>
        <v>..\..\Imagery\ScannedPhotos\1995\CG95-179.2.jpg</v>
      </c>
    </row>
    <row r="4386" spans="1:13" x14ac:dyDescent="0.25">
      <c r="A4386" t="s">
        <v>10356</v>
      </c>
      <c r="B4386">
        <v>494813</v>
      </c>
      <c r="C4386">
        <v>5788200</v>
      </c>
      <c r="D4386">
        <v>21</v>
      </c>
      <c r="E4386" t="s">
        <v>15</v>
      </c>
      <c r="F4386" t="s">
        <v>10357</v>
      </c>
      <c r="G4386">
        <v>3</v>
      </c>
      <c r="H4386" t="s">
        <v>2344</v>
      </c>
      <c r="I4386" t="s">
        <v>418</v>
      </c>
      <c r="J4386" t="s">
        <v>2341</v>
      </c>
      <c r="K4386" t="s">
        <v>535</v>
      </c>
      <c r="L4386" t="s">
        <v>10358</v>
      </c>
      <c r="M4386" s="3" t="str">
        <f>HYPERLINK("..\..\Imagery\ScannedPhotos\1992\JA92-041.3.jpg")</f>
        <v>..\..\Imagery\ScannedPhotos\1992\JA92-041.3.jpg</v>
      </c>
    </row>
    <row r="4387" spans="1:13" x14ac:dyDescent="0.25">
      <c r="A4387" t="s">
        <v>10359</v>
      </c>
      <c r="B4387">
        <v>577455</v>
      </c>
      <c r="C4387">
        <v>5900976</v>
      </c>
      <c r="D4387">
        <v>21</v>
      </c>
      <c r="E4387" t="s">
        <v>15</v>
      </c>
      <c r="F4387" t="s">
        <v>10360</v>
      </c>
      <c r="G4387">
        <v>2</v>
      </c>
      <c r="H4387" t="s">
        <v>1462</v>
      </c>
      <c r="I4387" t="s">
        <v>108</v>
      </c>
      <c r="J4387" t="s">
        <v>1463</v>
      </c>
      <c r="K4387" t="s">
        <v>20</v>
      </c>
      <c r="L4387" t="s">
        <v>10361</v>
      </c>
      <c r="M4387" s="3" t="str">
        <f>HYPERLINK("..\..\Imagery\ScannedPhotos\1985\VN85-532.1.jpg")</f>
        <v>..\..\Imagery\ScannedPhotos\1985\VN85-532.1.jpg</v>
      </c>
    </row>
    <row r="4388" spans="1:13" x14ac:dyDescent="0.25">
      <c r="A4388" t="s">
        <v>10359</v>
      </c>
      <c r="B4388">
        <v>577455</v>
      </c>
      <c r="C4388">
        <v>5900976</v>
      </c>
      <c r="D4388">
        <v>21</v>
      </c>
      <c r="E4388" t="s">
        <v>15</v>
      </c>
      <c r="F4388" t="s">
        <v>10362</v>
      </c>
      <c r="G4388">
        <v>2</v>
      </c>
      <c r="H4388" t="s">
        <v>1462</v>
      </c>
      <c r="I4388" t="s">
        <v>132</v>
      </c>
      <c r="J4388" t="s">
        <v>1463</v>
      </c>
      <c r="K4388" t="s">
        <v>56</v>
      </c>
      <c r="L4388" t="s">
        <v>10361</v>
      </c>
      <c r="M4388" s="3" t="str">
        <f>HYPERLINK("..\..\Imagery\ScannedPhotos\1985\VN85-532.2.jpg")</f>
        <v>..\..\Imagery\ScannedPhotos\1985\VN85-532.2.jpg</v>
      </c>
    </row>
    <row r="4389" spans="1:13" x14ac:dyDescent="0.25">
      <c r="A4389" t="s">
        <v>14</v>
      </c>
      <c r="B4389">
        <v>551495</v>
      </c>
      <c r="C4389">
        <v>5821595</v>
      </c>
      <c r="D4389">
        <v>21</v>
      </c>
      <c r="E4389" t="s">
        <v>15</v>
      </c>
      <c r="F4389" t="s">
        <v>10363</v>
      </c>
      <c r="G4389">
        <v>16</v>
      </c>
      <c r="H4389" t="s">
        <v>17</v>
      </c>
      <c r="I4389" t="s">
        <v>79</v>
      </c>
      <c r="J4389" t="s">
        <v>19</v>
      </c>
      <c r="K4389" t="s">
        <v>228</v>
      </c>
      <c r="L4389" t="s">
        <v>10364</v>
      </c>
      <c r="M4389" s="3" t="str">
        <f>HYPERLINK("..\..\Imagery\ScannedPhotos\1986\CG86-018.9.jpg")</f>
        <v>..\..\Imagery\ScannedPhotos\1986\CG86-018.9.jpg</v>
      </c>
    </row>
    <row r="4390" spans="1:13" x14ac:dyDescent="0.25">
      <c r="A4390" t="s">
        <v>14</v>
      </c>
      <c r="B4390">
        <v>551495</v>
      </c>
      <c r="C4390">
        <v>5821595</v>
      </c>
      <c r="D4390">
        <v>21</v>
      </c>
      <c r="E4390" t="s">
        <v>15</v>
      </c>
      <c r="F4390" t="s">
        <v>10365</v>
      </c>
      <c r="G4390">
        <v>16</v>
      </c>
      <c r="H4390" t="s">
        <v>17</v>
      </c>
      <c r="I4390" t="s">
        <v>281</v>
      </c>
      <c r="J4390" t="s">
        <v>19</v>
      </c>
      <c r="K4390" t="s">
        <v>56</v>
      </c>
      <c r="L4390" t="s">
        <v>21</v>
      </c>
      <c r="M4390" s="3" t="str">
        <f>HYPERLINK("..\..\Imagery\ScannedPhotos\1986\CG86-018.10.jpg")</f>
        <v>..\..\Imagery\ScannedPhotos\1986\CG86-018.10.jpg</v>
      </c>
    </row>
    <row r="4391" spans="1:13" x14ac:dyDescent="0.25">
      <c r="A4391" t="s">
        <v>10366</v>
      </c>
      <c r="B4391">
        <v>571500</v>
      </c>
      <c r="C4391">
        <v>5886389</v>
      </c>
      <c r="D4391">
        <v>21</v>
      </c>
      <c r="E4391" t="s">
        <v>15</v>
      </c>
      <c r="F4391" t="s">
        <v>10367</v>
      </c>
      <c r="G4391">
        <v>5</v>
      </c>
      <c r="H4391" t="s">
        <v>2412</v>
      </c>
      <c r="I4391" t="s">
        <v>30</v>
      </c>
      <c r="J4391" t="s">
        <v>1463</v>
      </c>
      <c r="K4391" t="s">
        <v>20</v>
      </c>
      <c r="L4391" t="s">
        <v>10368</v>
      </c>
      <c r="M4391" s="3" t="str">
        <f>HYPERLINK("..\..\Imagery\ScannedPhotos\1985\GM85-506.5.jpg")</f>
        <v>..\..\Imagery\ScannedPhotos\1985\GM85-506.5.jpg</v>
      </c>
    </row>
    <row r="4392" spans="1:13" x14ac:dyDescent="0.25">
      <c r="A4392" t="s">
        <v>10366</v>
      </c>
      <c r="B4392">
        <v>571500</v>
      </c>
      <c r="C4392">
        <v>5886389</v>
      </c>
      <c r="D4392">
        <v>21</v>
      </c>
      <c r="E4392" t="s">
        <v>15</v>
      </c>
      <c r="F4392" t="s">
        <v>10369</v>
      </c>
      <c r="G4392">
        <v>5</v>
      </c>
      <c r="H4392" t="s">
        <v>2412</v>
      </c>
      <c r="I4392" t="s">
        <v>195</v>
      </c>
      <c r="J4392" t="s">
        <v>1463</v>
      </c>
      <c r="K4392" t="s">
        <v>56</v>
      </c>
      <c r="L4392" t="s">
        <v>10368</v>
      </c>
      <c r="M4392" s="3" t="str">
        <f>HYPERLINK("..\..\Imagery\ScannedPhotos\1985\GM85-506.1.jpg")</f>
        <v>..\..\Imagery\ScannedPhotos\1985\GM85-506.1.jpg</v>
      </c>
    </row>
    <row r="4393" spans="1:13" x14ac:dyDescent="0.25">
      <c r="A4393" t="s">
        <v>10366</v>
      </c>
      <c r="B4393">
        <v>571500</v>
      </c>
      <c r="C4393">
        <v>5886389</v>
      </c>
      <c r="D4393">
        <v>21</v>
      </c>
      <c r="E4393" t="s">
        <v>15</v>
      </c>
      <c r="F4393" t="s">
        <v>10370</v>
      </c>
      <c r="G4393">
        <v>5</v>
      </c>
      <c r="H4393" t="s">
        <v>2412</v>
      </c>
      <c r="I4393" t="s">
        <v>25</v>
      </c>
      <c r="J4393" t="s">
        <v>1463</v>
      </c>
      <c r="K4393" t="s">
        <v>20</v>
      </c>
      <c r="L4393" t="s">
        <v>10368</v>
      </c>
      <c r="M4393" s="3" t="str">
        <f>HYPERLINK("..\..\Imagery\ScannedPhotos\1985\GM85-506.2.jpg")</f>
        <v>..\..\Imagery\ScannedPhotos\1985\GM85-506.2.jpg</v>
      </c>
    </row>
    <row r="4394" spans="1:13" x14ac:dyDescent="0.25">
      <c r="A4394" t="s">
        <v>10371</v>
      </c>
      <c r="B4394">
        <v>542460</v>
      </c>
      <c r="C4394">
        <v>5742293</v>
      </c>
      <c r="D4394">
        <v>21</v>
      </c>
      <c r="E4394" t="s">
        <v>15</v>
      </c>
      <c r="F4394" t="s">
        <v>10372</v>
      </c>
      <c r="G4394">
        <v>1</v>
      </c>
      <c r="K4394" t="s">
        <v>20</v>
      </c>
      <c r="L4394" t="s">
        <v>10373</v>
      </c>
      <c r="M4394" s="3" t="str">
        <f>HYPERLINK("..\..\Imagery\ScannedPhotos\2003\CG03-026.jpg")</f>
        <v>..\..\Imagery\ScannedPhotos\2003\CG03-026.jpg</v>
      </c>
    </row>
    <row r="4395" spans="1:13" x14ac:dyDescent="0.25">
      <c r="A4395" t="s">
        <v>10040</v>
      </c>
      <c r="B4395">
        <v>541092</v>
      </c>
      <c r="C4395">
        <v>5958189</v>
      </c>
      <c r="D4395">
        <v>21</v>
      </c>
      <c r="E4395" t="s">
        <v>15</v>
      </c>
      <c r="F4395" t="s">
        <v>10374</v>
      </c>
      <c r="G4395">
        <v>8</v>
      </c>
      <c r="H4395" t="s">
        <v>1480</v>
      </c>
      <c r="I4395" t="s">
        <v>74</v>
      </c>
      <c r="J4395" t="s">
        <v>48</v>
      </c>
      <c r="K4395" t="s">
        <v>935</v>
      </c>
      <c r="L4395" t="s">
        <v>10375</v>
      </c>
      <c r="M4395" s="3" t="str">
        <f>HYPERLINK("..\..\Imagery\ScannedPhotos\1981\CG81-314.2.jpg")</f>
        <v>..\..\Imagery\ScannedPhotos\1981\CG81-314.2.jpg</v>
      </c>
    </row>
    <row r="4396" spans="1:13" x14ac:dyDescent="0.25">
      <c r="A4396" t="s">
        <v>10040</v>
      </c>
      <c r="B4396">
        <v>541092</v>
      </c>
      <c r="C4396">
        <v>5958189</v>
      </c>
      <c r="D4396">
        <v>21</v>
      </c>
      <c r="E4396" t="s">
        <v>15</v>
      </c>
      <c r="F4396" t="s">
        <v>10376</v>
      </c>
      <c r="G4396">
        <v>8</v>
      </c>
      <c r="H4396" t="s">
        <v>1480</v>
      </c>
      <c r="I4396" t="s">
        <v>375</v>
      </c>
      <c r="J4396" t="s">
        <v>48</v>
      </c>
      <c r="K4396" t="s">
        <v>20</v>
      </c>
      <c r="L4396" t="s">
        <v>733</v>
      </c>
      <c r="M4396" s="3" t="str">
        <f>HYPERLINK("..\..\Imagery\ScannedPhotos\1981\CG81-314.5.jpg")</f>
        <v>..\..\Imagery\ScannedPhotos\1981\CG81-314.5.jpg</v>
      </c>
    </row>
    <row r="4397" spans="1:13" x14ac:dyDescent="0.25">
      <c r="A4397" t="s">
        <v>10040</v>
      </c>
      <c r="B4397">
        <v>541092</v>
      </c>
      <c r="C4397">
        <v>5958189</v>
      </c>
      <c r="D4397">
        <v>21</v>
      </c>
      <c r="E4397" t="s">
        <v>15</v>
      </c>
      <c r="F4397" t="s">
        <v>10377</v>
      </c>
      <c r="G4397">
        <v>8</v>
      </c>
      <c r="H4397" t="s">
        <v>1480</v>
      </c>
      <c r="I4397" t="s">
        <v>386</v>
      </c>
      <c r="J4397" t="s">
        <v>48</v>
      </c>
      <c r="K4397" t="s">
        <v>20</v>
      </c>
      <c r="L4397" t="s">
        <v>733</v>
      </c>
      <c r="M4397" s="3" t="str">
        <f>HYPERLINK("..\..\Imagery\ScannedPhotos\1981\CG81-314.8.jpg")</f>
        <v>..\..\Imagery\ScannedPhotos\1981\CG81-314.8.jpg</v>
      </c>
    </row>
    <row r="4398" spans="1:13" x14ac:dyDescent="0.25">
      <c r="A4398" t="s">
        <v>9980</v>
      </c>
      <c r="B4398">
        <v>510498</v>
      </c>
      <c r="C4398">
        <v>5709072</v>
      </c>
      <c r="D4398">
        <v>21</v>
      </c>
      <c r="E4398" t="s">
        <v>15</v>
      </c>
      <c r="F4398" t="s">
        <v>10378</v>
      </c>
      <c r="G4398">
        <v>2</v>
      </c>
      <c r="H4398" t="s">
        <v>1338</v>
      </c>
      <c r="I4398" t="s">
        <v>418</v>
      </c>
      <c r="J4398" t="s">
        <v>570</v>
      </c>
      <c r="K4398" t="s">
        <v>56</v>
      </c>
      <c r="L4398" t="s">
        <v>3148</v>
      </c>
      <c r="M4398" s="3" t="str">
        <f>HYPERLINK("..\..\Imagery\ScannedPhotos\1993\VN93-200.2.jpg")</f>
        <v>..\..\Imagery\ScannedPhotos\1993\VN93-200.2.jpg</v>
      </c>
    </row>
    <row r="4399" spans="1:13" x14ac:dyDescent="0.25">
      <c r="A4399" t="s">
        <v>10379</v>
      </c>
      <c r="B4399">
        <v>579256</v>
      </c>
      <c r="C4399">
        <v>5920958</v>
      </c>
      <c r="D4399">
        <v>21</v>
      </c>
      <c r="E4399" t="s">
        <v>15</v>
      </c>
      <c r="F4399" t="s">
        <v>10380</v>
      </c>
      <c r="G4399">
        <v>4</v>
      </c>
      <c r="H4399" t="s">
        <v>1994</v>
      </c>
      <c r="I4399" t="s">
        <v>126</v>
      </c>
      <c r="J4399" t="s">
        <v>138</v>
      </c>
      <c r="K4399" t="s">
        <v>20</v>
      </c>
      <c r="L4399" t="s">
        <v>10381</v>
      </c>
      <c r="M4399" s="3" t="str">
        <f>HYPERLINK("..\..\Imagery\ScannedPhotos\1985\GM85-593.2.jpg")</f>
        <v>..\..\Imagery\ScannedPhotos\1985\GM85-593.2.jpg</v>
      </c>
    </row>
    <row r="4400" spans="1:13" x14ac:dyDescent="0.25">
      <c r="A4400" t="s">
        <v>10382</v>
      </c>
      <c r="B4400">
        <v>578639</v>
      </c>
      <c r="C4400">
        <v>5921675</v>
      </c>
      <c r="D4400">
        <v>21</v>
      </c>
      <c r="E4400" t="s">
        <v>15</v>
      </c>
      <c r="F4400" t="s">
        <v>10383</v>
      </c>
      <c r="G4400">
        <v>2</v>
      </c>
      <c r="H4400" t="s">
        <v>1994</v>
      </c>
      <c r="I4400" t="s">
        <v>143</v>
      </c>
      <c r="J4400" t="s">
        <v>138</v>
      </c>
      <c r="K4400" t="s">
        <v>20</v>
      </c>
      <c r="L4400" t="s">
        <v>10384</v>
      </c>
      <c r="M4400" s="3" t="str">
        <f>HYPERLINK("..\..\Imagery\ScannedPhotos\1985\GM85-595.2.jpg")</f>
        <v>..\..\Imagery\ScannedPhotos\1985\GM85-595.2.jpg</v>
      </c>
    </row>
    <row r="4401" spans="1:14" x14ac:dyDescent="0.25">
      <c r="A4401" t="s">
        <v>10382</v>
      </c>
      <c r="B4401">
        <v>578639</v>
      </c>
      <c r="C4401">
        <v>5921675</v>
      </c>
      <c r="D4401">
        <v>21</v>
      </c>
      <c r="E4401" t="s">
        <v>15</v>
      </c>
      <c r="F4401" t="s">
        <v>10385</v>
      </c>
      <c r="G4401">
        <v>2</v>
      </c>
      <c r="H4401" t="s">
        <v>1994</v>
      </c>
      <c r="I4401" t="s">
        <v>129</v>
      </c>
      <c r="J4401" t="s">
        <v>138</v>
      </c>
      <c r="K4401" t="s">
        <v>20</v>
      </c>
      <c r="L4401" t="s">
        <v>10384</v>
      </c>
      <c r="M4401" s="3" t="str">
        <f>HYPERLINK("..\..\Imagery\ScannedPhotos\1985\GM85-595.1.jpg")</f>
        <v>..\..\Imagery\ScannedPhotos\1985\GM85-595.1.jpg</v>
      </c>
    </row>
    <row r="4402" spans="1:14" x14ac:dyDescent="0.25">
      <c r="A4402" t="s">
        <v>10386</v>
      </c>
      <c r="B4402">
        <v>579273</v>
      </c>
      <c r="C4402">
        <v>5921868</v>
      </c>
      <c r="D4402">
        <v>21</v>
      </c>
      <c r="E4402" t="s">
        <v>15</v>
      </c>
      <c r="F4402" t="s">
        <v>10387</v>
      </c>
      <c r="G4402">
        <v>4</v>
      </c>
      <c r="H4402" t="s">
        <v>1994</v>
      </c>
      <c r="I4402" t="s">
        <v>47</v>
      </c>
      <c r="J4402" t="s">
        <v>138</v>
      </c>
      <c r="K4402" t="s">
        <v>20</v>
      </c>
      <c r="L4402" t="s">
        <v>2152</v>
      </c>
      <c r="M4402" s="3" t="str">
        <f>HYPERLINK("..\..\Imagery\ScannedPhotos\1985\GM85-597.2.jpg")</f>
        <v>..\..\Imagery\ScannedPhotos\1985\GM85-597.2.jpg</v>
      </c>
    </row>
    <row r="4403" spans="1:14" x14ac:dyDescent="0.25">
      <c r="A4403" t="s">
        <v>10386</v>
      </c>
      <c r="B4403">
        <v>579273</v>
      </c>
      <c r="C4403">
        <v>5921868</v>
      </c>
      <c r="D4403">
        <v>21</v>
      </c>
      <c r="E4403" t="s">
        <v>15</v>
      </c>
      <c r="F4403" t="s">
        <v>10388</v>
      </c>
      <c r="G4403">
        <v>4</v>
      </c>
      <c r="H4403" t="s">
        <v>1994</v>
      </c>
      <c r="I4403" t="s">
        <v>147</v>
      </c>
      <c r="J4403" t="s">
        <v>138</v>
      </c>
      <c r="K4403" t="s">
        <v>20</v>
      </c>
      <c r="L4403" t="s">
        <v>2152</v>
      </c>
      <c r="M4403" s="3" t="str">
        <f>HYPERLINK("..\..\Imagery\ScannedPhotos\1985\GM85-597.1.jpg")</f>
        <v>..\..\Imagery\ScannedPhotos\1985\GM85-597.1.jpg</v>
      </c>
    </row>
    <row r="4404" spans="1:14" x14ac:dyDescent="0.25">
      <c r="A4404" t="s">
        <v>10389</v>
      </c>
      <c r="B4404">
        <v>381086</v>
      </c>
      <c r="C4404">
        <v>5904848</v>
      </c>
      <c r="D4404">
        <v>21</v>
      </c>
      <c r="E4404" t="s">
        <v>15</v>
      </c>
      <c r="F4404" t="s">
        <v>10390</v>
      </c>
      <c r="G4404">
        <v>2</v>
      </c>
      <c r="H4404" t="s">
        <v>1826</v>
      </c>
      <c r="I4404" t="s">
        <v>30</v>
      </c>
      <c r="J4404" t="s">
        <v>557</v>
      </c>
      <c r="K4404" t="s">
        <v>20</v>
      </c>
      <c r="L4404" t="s">
        <v>10391</v>
      </c>
      <c r="M4404" s="3" t="str">
        <f>HYPERLINK("..\..\Imagery\ScannedPhotos\1995\CG95-185.2.jpg")</f>
        <v>..\..\Imagery\ScannedPhotos\1995\CG95-185.2.jpg</v>
      </c>
    </row>
    <row r="4405" spans="1:14" x14ac:dyDescent="0.25">
      <c r="A4405" t="s">
        <v>10389</v>
      </c>
      <c r="B4405">
        <v>381086</v>
      </c>
      <c r="C4405">
        <v>5904848</v>
      </c>
      <c r="D4405">
        <v>21</v>
      </c>
      <c r="E4405" t="s">
        <v>15</v>
      </c>
      <c r="F4405" t="s">
        <v>10392</v>
      </c>
      <c r="G4405">
        <v>2</v>
      </c>
      <c r="H4405" t="s">
        <v>1826</v>
      </c>
      <c r="I4405" t="s">
        <v>647</v>
      </c>
      <c r="J4405" t="s">
        <v>557</v>
      </c>
      <c r="K4405" t="s">
        <v>20</v>
      </c>
      <c r="L4405" t="s">
        <v>10391</v>
      </c>
      <c r="M4405" s="3" t="str">
        <f>HYPERLINK("..\..\Imagery\ScannedPhotos\1995\CG95-185.1.jpg")</f>
        <v>..\..\Imagery\ScannedPhotos\1995\CG95-185.1.jpg</v>
      </c>
    </row>
    <row r="4406" spans="1:14" x14ac:dyDescent="0.25">
      <c r="A4406" t="s">
        <v>10393</v>
      </c>
      <c r="B4406">
        <v>396727</v>
      </c>
      <c r="C4406">
        <v>5880906</v>
      </c>
      <c r="D4406">
        <v>21</v>
      </c>
      <c r="E4406" t="s">
        <v>15</v>
      </c>
      <c r="F4406" t="s">
        <v>10394</v>
      </c>
      <c r="G4406">
        <v>2</v>
      </c>
      <c r="H4406" t="s">
        <v>1826</v>
      </c>
      <c r="I4406" t="s">
        <v>114</v>
      </c>
      <c r="J4406" t="s">
        <v>557</v>
      </c>
      <c r="K4406" t="s">
        <v>20</v>
      </c>
      <c r="L4406" t="s">
        <v>10395</v>
      </c>
      <c r="M4406" s="3" t="str">
        <f>HYPERLINK("..\..\Imagery\ScannedPhotos\1995\CG95-187.1.jpg")</f>
        <v>..\..\Imagery\ScannedPhotos\1995\CG95-187.1.jpg</v>
      </c>
    </row>
    <row r="4407" spans="1:14" x14ac:dyDescent="0.25">
      <c r="A4407" t="s">
        <v>10393</v>
      </c>
      <c r="B4407">
        <v>396727</v>
      </c>
      <c r="C4407">
        <v>5880906</v>
      </c>
      <c r="D4407">
        <v>21</v>
      </c>
      <c r="E4407" t="s">
        <v>15</v>
      </c>
      <c r="F4407" t="s">
        <v>10396</v>
      </c>
      <c r="G4407">
        <v>2</v>
      </c>
      <c r="H4407" t="s">
        <v>1826</v>
      </c>
      <c r="I4407" t="s">
        <v>119</v>
      </c>
      <c r="J4407" t="s">
        <v>557</v>
      </c>
      <c r="K4407" t="s">
        <v>20</v>
      </c>
      <c r="L4407" t="s">
        <v>10395</v>
      </c>
      <c r="M4407" s="3" t="str">
        <f>HYPERLINK("..\..\Imagery\ScannedPhotos\1995\CG95-187.2.jpg")</f>
        <v>..\..\Imagery\ScannedPhotos\1995\CG95-187.2.jpg</v>
      </c>
    </row>
    <row r="4408" spans="1:14" x14ac:dyDescent="0.25">
      <c r="A4408" t="s">
        <v>10397</v>
      </c>
      <c r="B4408">
        <v>367106</v>
      </c>
      <c r="C4408">
        <v>5895274</v>
      </c>
      <c r="D4408">
        <v>21</v>
      </c>
      <c r="E4408" t="s">
        <v>15</v>
      </c>
      <c r="F4408" t="s">
        <v>10398</v>
      </c>
      <c r="G4408">
        <v>2</v>
      </c>
      <c r="H4408" t="s">
        <v>1826</v>
      </c>
      <c r="I4408" t="s">
        <v>122</v>
      </c>
      <c r="J4408" t="s">
        <v>557</v>
      </c>
      <c r="K4408" t="s">
        <v>20</v>
      </c>
      <c r="L4408" t="s">
        <v>10399</v>
      </c>
      <c r="M4408" s="3" t="str">
        <f>HYPERLINK("..\..\Imagery\ScannedPhotos\1995\CG95-197.1.jpg")</f>
        <v>..\..\Imagery\ScannedPhotos\1995\CG95-197.1.jpg</v>
      </c>
    </row>
    <row r="4409" spans="1:14" x14ac:dyDescent="0.25">
      <c r="A4409" t="s">
        <v>2338</v>
      </c>
      <c r="B4409">
        <v>498459</v>
      </c>
      <c r="C4409">
        <v>5791161</v>
      </c>
      <c r="D4409">
        <v>21</v>
      </c>
      <c r="E4409" t="s">
        <v>15</v>
      </c>
      <c r="F4409" t="s">
        <v>10400</v>
      </c>
      <c r="G4409">
        <v>6</v>
      </c>
      <c r="H4409" t="s">
        <v>2340</v>
      </c>
      <c r="I4409" t="s">
        <v>304</v>
      </c>
      <c r="J4409" t="s">
        <v>2341</v>
      </c>
      <c r="K4409" t="s">
        <v>56</v>
      </c>
      <c r="L4409" t="s">
        <v>10401</v>
      </c>
      <c r="M4409" s="3" t="str">
        <f>HYPERLINK("..\..\Imagery\ScannedPhotos\1992\HP92-082.1.jpg")</f>
        <v>..\..\Imagery\ScannedPhotos\1992\HP92-082.1.jpg</v>
      </c>
    </row>
    <row r="4410" spans="1:14" x14ac:dyDescent="0.25">
      <c r="A4410" t="s">
        <v>10402</v>
      </c>
      <c r="B4410">
        <v>570913</v>
      </c>
      <c r="C4410">
        <v>5829727</v>
      </c>
      <c r="D4410">
        <v>21</v>
      </c>
      <c r="E4410" t="s">
        <v>15</v>
      </c>
      <c r="F4410" t="s">
        <v>10403</v>
      </c>
      <c r="G4410">
        <v>1</v>
      </c>
      <c r="H4410" t="s">
        <v>3303</v>
      </c>
      <c r="I4410" t="s">
        <v>94</v>
      </c>
      <c r="J4410" t="s">
        <v>300</v>
      </c>
      <c r="K4410" t="s">
        <v>56</v>
      </c>
      <c r="L4410" t="s">
        <v>10404</v>
      </c>
      <c r="M4410" s="3" t="str">
        <f>HYPERLINK("..\..\Imagery\ScannedPhotos\1986\SN86-200cropped.jpg")</f>
        <v>..\..\Imagery\ScannedPhotos\1986\SN86-200cropped.jpg</v>
      </c>
      <c r="N4410" t="s">
        <v>4297</v>
      </c>
    </row>
    <row r="4411" spans="1:14" x14ac:dyDescent="0.25">
      <c r="A4411" t="s">
        <v>8906</v>
      </c>
      <c r="B4411">
        <v>514264</v>
      </c>
      <c r="C4411">
        <v>5843794</v>
      </c>
      <c r="D4411">
        <v>21</v>
      </c>
      <c r="E4411" t="s">
        <v>15</v>
      </c>
      <c r="F4411" t="s">
        <v>10405</v>
      </c>
      <c r="G4411">
        <v>4</v>
      </c>
      <c r="H4411" t="s">
        <v>3303</v>
      </c>
      <c r="I4411" t="s">
        <v>217</v>
      </c>
      <c r="J4411" t="s">
        <v>300</v>
      </c>
      <c r="K4411" t="s">
        <v>20</v>
      </c>
      <c r="L4411" t="s">
        <v>8908</v>
      </c>
      <c r="M4411" s="3" t="str">
        <f>HYPERLINK("..\..\Imagery\ScannedPhotos\1986\SN86-214.2cropped.jpg")</f>
        <v>..\..\Imagery\ScannedPhotos\1986\SN86-214.2cropped.jpg</v>
      </c>
      <c r="N4411" t="s">
        <v>4297</v>
      </c>
    </row>
    <row r="4412" spans="1:14" x14ac:dyDescent="0.25">
      <c r="A4412" t="s">
        <v>9106</v>
      </c>
      <c r="B4412">
        <v>566780</v>
      </c>
      <c r="C4412">
        <v>5826692</v>
      </c>
      <c r="D4412">
        <v>21</v>
      </c>
      <c r="E4412" t="s">
        <v>15</v>
      </c>
      <c r="F4412" t="s">
        <v>10406</v>
      </c>
      <c r="G4412">
        <v>2</v>
      </c>
      <c r="H4412" t="s">
        <v>3303</v>
      </c>
      <c r="I4412" t="s">
        <v>30</v>
      </c>
      <c r="J4412" t="s">
        <v>300</v>
      </c>
      <c r="K4412" t="s">
        <v>20</v>
      </c>
      <c r="L4412" t="s">
        <v>9108</v>
      </c>
      <c r="M4412" s="3" t="str">
        <f>HYPERLINK("..\..\Imagery\ScannedPhotos\1986\SN86-225.2cropped.jpg")</f>
        <v>..\..\Imagery\ScannedPhotos\1986\SN86-225.2cropped.jpg</v>
      </c>
      <c r="N4412" t="s">
        <v>4297</v>
      </c>
    </row>
    <row r="4413" spans="1:14" x14ac:dyDescent="0.25">
      <c r="A4413" t="s">
        <v>10407</v>
      </c>
      <c r="B4413">
        <v>581824</v>
      </c>
      <c r="C4413">
        <v>5872578</v>
      </c>
      <c r="D4413">
        <v>21</v>
      </c>
      <c r="E4413" t="s">
        <v>15</v>
      </c>
      <c r="F4413" t="s">
        <v>10408</v>
      </c>
      <c r="G4413">
        <v>1</v>
      </c>
      <c r="H4413" t="s">
        <v>4591</v>
      </c>
      <c r="I4413" t="s">
        <v>25</v>
      </c>
      <c r="J4413" t="s">
        <v>1233</v>
      </c>
      <c r="K4413" t="s">
        <v>20</v>
      </c>
      <c r="L4413" t="s">
        <v>10409</v>
      </c>
      <c r="M4413" s="3" t="str">
        <f>HYPERLINK("..\..\Imagery\ScannedPhotos\1986\SN86-288E.jpg")</f>
        <v>..\..\Imagery\ScannedPhotos\1986\SN86-288E.jpg</v>
      </c>
      <c r="N4413" t="s">
        <v>1808</v>
      </c>
    </row>
    <row r="4414" spans="1:14" x14ac:dyDescent="0.25">
      <c r="A4414" t="s">
        <v>7647</v>
      </c>
      <c r="B4414">
        <v>578078</v>
      </c>
      <c r="C4414">
        <v>5862217</v>
      </c>
      <c r="D4414">
        <v>21</v>
      </c>
      <c r="E4414" t="s">
        <v>15</v>
      </c>
      <c r="F4414" t="s">
        <v>10410</v>
      </c>
      <c r="G4414">
        <v>3</v>
      </c>
      <c r="H4414" t="s">
        <v>874</v>
      </c>
      <c r="I4414" t="s">
        <v>35</v>
      </c>
      <c r="J4414" t="s">
        <v>300</v>
      </c>
      <c r="K4414" t="s">
        <v>20</v>
      </c>
      <c r="L4414" t="s">
        <v>10411</v>
      </c>
      <c r="M4414" s="3" t="str">
        <f>HYPERLINK("..\..\Imagery\ScannedPhotos\1986\SN86-310.1E.jpg")</f>
        <v>..\..\Imagery\ScannedPhotos\1986\SN86-310.1E.jpg</v>
      </c>
      <c r="N4414" t="s">
        <v>1808</v>
      </c>
    </row>
    <row r="4415" spans="1:14" x14ac:dyDescent="0.25">
      <c r="A4415" t="s">
        <v>4219</v>
      </c>
      <c r="B4415">
        <v>578681</v>
      </c>
      <c r="C4415">
        <v>5860842</v>
      </c>
      <c r="D4415">
        <v>21</v>
      </c>
      <c r="E4415" t="s">
        <v>15</v>
      </c>
      <c r="F4415" t="s">
        <v>10412</v>
      </c>
      <c r="G4415">
        <v>2</v>
      </c>
      <c r="H4415" t="s">
        <v>874</v>
      </c>
      <c r="I4415" t="s">
        <v>30</v>
      </c>
      <c r="J4415" t="s">
        <v>300</v>
      </c>
      <c r="K4415" t="s">
        <v>20</v>
      </c>
      <c r="L4415" t="s">
        <v>10413</v>
      </c>
      <c r="M4415" s="3" t="str">
        <f>HYPERLINK("..\..\Imagery\ScannedPhotos\1986\SN86-319.1E.jpg")</f>
        <v>..\..\Imagery\ScannedPhotos\1986\SN86-319.1E.jpg</v>
      </c>
      <c r="N4415" t="s">
        <v>1808</v>
      </c>
    </row>
    <row r="4416" spans="1:14" x14ac:dyDescent="0.25">
      <c r="A4416" t="s">
        <v>10414</v>
      </c>
      <c r="B4416">
        <v>563224</v>
      </c>
      <c r="C4416">
        <v>5846816</v>
      </c>
      <c r="D4416">
        <v>21</v>
      </c>
      <c r="E4416" t="s">
        <v>15</v>
      </c>
      <c r="F4416" t="s">
        <v>10415</v>
      </c>
      <c r="G4416">
        <v>1</v>
      </c>
      <c r="H4416" t="s">
        <v>3162</v>
      </c>
      <c r="I4416" t="s">
        <v>214</v>
      </c>
      <c r="J4416" t="s">
        <v>3163</v>
      </c>
      <c r="K4416" t="s">
        <v>20</v>
      </c>
      <c r="L4416" t="s">
        <v>10416</v>
      </c>
      <c r="M4416" s="3" t="str">
        <f>HYPERLINK("..\..\Imagery\ScannedPhotos\1986\SN86-342E.jpg")</f>
        <v>..\..\Imagery\ScannedPhotos\1986\SN86-342E.jpg</v>
      </c>
      <c r="N4416" t="s">
        <v>1808</v>
      </c>
    </row>
    <row r="4417" spans="1:14" x14ac:dyDescent="0.25">
      <c r="A4417" t="s">
        <v>3160</v>
      </c>
      <c r="B4417">
        <v>561592</v>
      </c>
      <c r="C4417">
        <v>5848575</v>
      </c>
      <c r="D4417">
        <v>21</v>
      </c>
      <c r="E4417" t="s">
        <v>15</v>
      </c>
      <c r="F4417" t="s">
        <v>10417</v>
      </c>
      <c r="G4417">
        <v>4</v>
      </c>
      <c r="H4417" t="s">
        <v>3162</v>
      </c>
      <c r="I4417" t="s">
        <v>195</v>
      </c>
      <c r="J4417" t="s">
        <v>3163</v>
      </c>
      <c r="K4417" t="s">
        <v>20</v>
      </c>
      <c r="L4417" t="s">
        <v>356</v>
      </c>
      <c r="M4417" s="3" t="str">
        <f>HYPERLINK("..\..\Imagery\ScannedPhotos\1986\SN86-345.3E.jpg")</f>
        <v>..\..\Imagery\ScannedPhotos\1986\SN86-345.3E.jpg</v>
      </c>
      <c r="N4417" t="s">
        <v>1808</v>
      </c>
    </row>
    <row r="4418" spans="1:14" x14ac:dyDescent="0.25">
      <c r="A4418" t="s">
        <v>7193</v>
      </c>
      <c r="B4418">
        <v>582141</v>
      </c>
      <c r="C4418">
        <v>5927434</v>
      </c>
      <c r="D4418">
        <v>21</v>
      </c>
      <c r="E4418" t="s">
        <v>15</v>
      </c>
      <c r="F4418" t="s">
        <v>10418</v>
      </c>
      <c r="G4418">
        <v>8</v>
      </c>
      <c r="H4418" t="s">
        <v>2084</v>
      </c>
      <c r="I4418" t="s">
        <v>30</v>
      </c>
      <c r="J4418" t="s">
        <v>1014</v>
      </c>
      <c r="K4418" t="s">
        <v>228</v>
      </c>
      <c r="L4418" t="s">
        <v>10419</v>
      </c>
      <c r="M4418" s="3" t="str">
        <f>HYPERLINK("..\..\Imagery\ScannedPhotos\1985\SP85-133.3.jpg")</f>
        <v>..\..\Imagery\ScannedPhotos\1985\SP85-133.3.jpg</v>
      </c>
    </row>
    <row r="4419" spans="1:14" x14ac:dyDescent="0.25">
      <c r="A4419" t="s">
        <v>10420</v>
      </c>
      <c r="B4419">
        <v>338858</v>
      </c>
      <c r="C4419">
        <v>5831102</v>
      </c>
      <c r="D4419">
        <v>21</v>
      </c>
      <c r="E4419" t="s">
        <v>15</v>
      </c>
      <c r="F4419" t="s">
        <v>10421</v>
      </c>
      <c r="G4419">
        <v>1</v>
      </c>
      <c r="H4419" t="s">
        <v>5833</v>
      </c>
      <c r="I4419" t="s">
        <v>85</v>
      </c>
      <c r="J4419" t="s">
        <v>260</v>
      </c>
      <c r="K4419" t="s">
        <v>56</v>
      </c>
      <c r="L4419" t="s">
        <v>10422</v>
      </c>
      <c r="M4419" s="3" t="str">
        <f>HYPERLINK("..\..\Imagery\ScannedPhotos\1998\CG98-205.jpg")</f>
        <v>..\..\Imagery\ScannedPhotos\1998\CG98-205.jpg</v>
      </c>
    </row>
    <row r="4420" spans="1:14" x14ac:dyDescent="0.25">
      <c r="A4420" t="s">
        <v>10423</v>
      </c>
      <c r="B4420">
        <v>342099</v>
      </c>
      <c r="C4420">
        <v>5832164</v>
      </c>
      <c r="D4420">
        <v>21</v>
      </c>
      <c r="E4420" t="s">
        <v>15</v>
      </c>
      <c r="F4420" t="s">
        <v>10424</v>
      </c>
      <c r="G4420">
        <v>1</v>
      </c>
      <c r="H4420" t="s">
        <v>5833</v>
      </c>
      <c r="I4420" t="s">
        <v>375</v>
      </c>
      <c r="J4420" t="s">
        <v>260</v>
      </c>
      <c r="K4420" t="s">
        <v>20</v>
      </c>
      <c r="L4420" t="s">
        <v>2230</v>
      </c>
      <c r="M4420" s="3" t="str">
        <f>HYPERLINK("..\..\Imagery\ScannedPhotos\1998\CG98-206.jpg")</f>
        <v>..\..\Imagery\ScannedPhotos\1998\CG98-206.jpg</v>
      </c>
    </row>
    <row r="4421" spans="1:14" x14ac:dyDescent="0.25">
      <c r="A4421" t="s">
        <v>10425</v>
      </c>
      <c r="B4421">
        <v>371487</v>
      </c>
      <c r="C4421">
        <v>5771023</v>
      </c>
      <c r="D4421">
        <v>21</v>
      </c>
      <c r="E4421" t="s">
        <v>15</v>
      </c>
      <c r="F4421" t="s">
        <v>10426</v>
      </c>
      <c r="G4421">
        <v>1</v>
      </c>
      <c r="H4421" t="s">
        <v>6227</v>
      </c>
      <c r="I4421" t="s">
        <v>74</v>
      </c>
      <c r="J4421" t="s">
        <v>6228</v>
      </c>
      <c r="K4421" t="s">
        <v>20</v>
      </c>
      <c r="L4421" t="s">
        <v>10427</v>
      </c>
      <c r="M4421" s="3" t="str">
        <f>HYPERLINK("..\..\Imagery\ScannedPhotos\1999\CG99-305.jpg")</f>
        <v>..\..\Imagery\ScannedPhotos\1999\CG99-305.jpg</v>
      </c>
    </row>
    <row r="4422" spans="1:14" x14ac:dyDescent="0.25">
      <c r="A4422" t="s">
        <v>10428</v>
      </c>
      <c r="B4422">
        <v>371130</v>
      </c>
      <c r="C4422">
        <v>5772230</v>
      </c>
      <c r="D4422">
        <v>21</v>
      </c>
      <c r="E4422" t="s">
        <v>15</v>
      </c>
      <c r="F4422" t="s">
        <v>10429</v>
      </c>
      <c r="G4422">
        <v>1</v>
      </c>
      <c r="H4422" t="s">
        <v>6227</v>
      </c>
      <c r="I4422" t="s">
        <v>41</v>
      </c>
      <c r="J4422" t="s">
        <v>6228</v>
      </c>
      <c r="K4422" t="s">
        <v>20</v>
      </c>
      <c r="L4422" t="s">
        <v>10430</v>
      </c>
      <c r="M4422" s="3" t="str">
        <f>HYPERLINK("..\..\Imagery\ScannedPhotos\1999\CG99-306.jpg")</f>
        <v>..\..\Imagery\ScannedPhotos\1999\CG99-306.jpg</v>
      </c>
    </row>
    <row r="4423" spans="1:14" x14ac:dyDescent="0.25">
      <c r="A4423" t="s">
        <v>7573</v>
      </c>
      <c r="B4423">
        <v>371645</v>
      </c>
      <c r="C4423">
        <v>5776667</v>
      </c>
      <c r="D4423">
        <v>21</v>
      </c>
      <c r="E4423" t="s">
        <v>15</v>
      </c>
      <c r="F4423" t="s">
        <v>10431</v>
      </c>
      <c r="G4423">
        <v>2</v>
      </c>
      <c r="H4423" t="s">
        <v>6227</v>
      </c>
      <c r="I4423" t="s">
        <v>85</v>
      </c>
      <c r="J4423" t="s">
        <v>6228</v>
      </c>
      <c r="K4423" t="s">
        <v>20</v>
      </c>
      <c r="L4423" t="s">
        <v>7575</v>
      </c>
      <c r="M4423" s="3" t="str">
        <f>HYPERLINK("..\..\Imagery\ScannedPhotos\1999\CG99-308.1.jpg")</f>
        <v>..\..\Imagery\ScannedPhotos\1999\CG99-308.1.jpg</v>
      </c>
    </row>
    <row r="4424" spans="1:14" x14ac:dyDescent="0.25">
      <c r="A4424" t="s">
        <v>6136</v>
      </c>
      <c r="B4424">
        <v>545871</v>
      </c>
      <c r="C4424">
        <v>5733316</v>
      </c>
      <c r="D4424">
        <v>21</v>
      </c>
      <c r="E4424" t="s">
        <v>15</v>
      </c>
      <c r="F4424" t="s">
        <v>10432</v>
      </c>
      <c r="G4424">
        <v>3</v>
      </c>
      <c r="H4424" t="s">
        <v>1338</v>
      </c>
      <c r="I4424" t="s">
        <v>147</v>
      </c>
      <c r="J4424" t="s">
        <v>570</v>
      </c>
      <c r="K4424" t="s">
        <v>20</v>
      </c>
      <c r="L4424" t="s">
        <v>10433</v>
      </c>
      <c r="M4424" s="3" t="str">
        <f>HYPERLINK("..\..\Imagery\ScannedPhotos\1993\VN93-219.2.jpg")</f>
        <v>..\..\Imagery\ScannedPhotos\1993\VN93-219.2.jpg</v>
      </c>
    </row>
    <row r="4425" spans="1:14" x14ac:dyDescent="0.25">
      <c r="A4425" t="s">
        <v>6136</v>
      </c>
      <c r="B4425">
        <v>545871</v>
      </c>
      <c r="C4425">
        <v>5733316</v>
      </c>
      <c r="D4425">
        <v>21</v>
      </c>
      <c r="E4425" t="s">
        <v>15</v>
      </c>
      <c r="F4425" t="s">
        <v>10434</v>
      </c>
      <c r="G4425">
        <v>3</v>
      </c>
      <c r="H4425" t="s">
        <v>1338</v>
      </c>
      <c r="I4425" t="s">
        <v>143</v>
      </c>
      <c r="J4425" t="s">
        <v>570</v>
      </c>
      <c r="K4425" t="s">
        <v>20</v>
      </c>
      <c r="L4425" t="s">
        <v>10435</v>
      </c>
      <c r="M4425" s="3" t="str">
        <f>HYPERLINK("..\..\Imagery\ScannedPhotos\1993\VN93-219.1.jpg")</f>
        <v>..\..\Imagery\ScannedPhotos\1993\VN93-219.1.jpg</v>
      </c>
    </row>
    <row r="4426" spans="1:14" x14ac:dyDescent="0.25">
      <c r="A4426" t="s">
        <v>10436</v>
      </c>
      <c r="B4426">
        <v>545572</v>
      </c>
      <c r="C4426">
        <v>5733578</v>
      </c>
      <c r="D4426">
        <v>21</v>
      </c>
      <c r="E4426" t="s">
        <v>15</v>
      </c>
      <c r="F4426" t="s">
        <v>10437</v>
      </c>
      <c r="G4426">
        <v>2</v>
      </c>
      <c r="H4426" t="s">
        <v>1338</v>
      </c>
      <c r="I4426" t="s">
        <v>52</v>
      </c>
      <c r="J4426" t="s">
        <v>570</v>
      </c>
      <c r="K4426" t="s">
        <v>20</v>
      </c>
      <c r="L4426" t="s">
        <v>10438</v>
      </c>
      <c r="M4426" s="3" t="str">
        <f>HYPERLINK("..\..\Imagery\ScannedPhotos\1993\VN93-220.1.jpg")</f>
        <v>..\..\Imagery\ScannedPhotos\1993\VN93-220.1.jpg</v>
      </c>
    </row>
    <row r="4427" spans="1:14" x14ac:dyDescent="0.25">
      <c r="A4427" t="s">
        <v>10436</v>
      </c>
      <c r="B4427">
        <v>545572</v>
      </c>
      <c r="C4427">
        <v>5733578</v>
      </c>
      <c r="D4427">
        <v>21</v>
      </c>
      <c r="E4427" t="s">
        <v>15</v>
      </c>
      <c r="F4427" t="s">
        <v>10439</v>
      </c>
      <c r="G4427">
        <v>2</v>
      </c>
      <c r="H4427" t="s">
        <v>1338</v>
      </c>
      <c r="I4427" t="s">
        <v>65</v>
      </c>
      <c r="J4427" t="s">
        <v>570</v>
      </c>
      <c r="K4427" t="s">
        <v>20</v>
      </c>
      <c r="L4427" t="s">
        <v>10440</v>
      </c>
      <c r="M4427" s="3" t="str">
        <f>HYPERLINK("..\..\Imagery\ScannedPhotos\1993\VN93-220.2.jpg")</f>
        <v>..\..\Imagery\ScannedPhotos\1993\VN93-220.2.jpg</v>
      </c>
    </row>
    <row r="4428" spans="1:14" x14ac:dyDescent="0.25">
      <c r="A4428" t="s">
        <v>10441</v>
      </c>
      <c r="B4428">
        <v>545569</v>
      </c>
      <c r="C4428">
        <v>5733997</v>
      </c>
      <c r="D4428">
        <v>21</v>
      </c>
      <c r="E4428" t="s">
        <v>15</v>
      </c>
      <c r="F4428" t="s">
        <v>10442</v>
      </c>
      <c r="G4428">
        <v>2</v>
      </c>
      <c r="H4428" t="s">
        <v>1784</v>
      </c>
      <c r="I4428" t="s">
        <v>294</v>
      </c>
      <c r="J4428" t="s">
        <v>1738</v>
      </c>
      <c r="K4428" t="s">
        <v>20</v>
      </c>
      <c r="L4428" t="s">
        <v>10443</v>
      </c>
      <c r="M4428" s="3" t="str">
        <f>HYPERLINK("..\..\Imagery\ScannedPhotos\1993\VN93-222.1.jpg")</f>
        <v>..\..\Imagery\ScannedPhotos\1993\VN93-222.1.jpg</v>
      </c>
    </row>
    <row r="4429" spans="1:14" x14ac:dyDescent="0.25">
      <c r="A4429" t="s">
        <v>6315</v>
      </c>
      <c r="B4429">
        <v>375976</v>
      </c>
      <c r="C4429">
        <v>5892660</v>
      </c>
      <c r="D4429">
        <v>21</v>
      </c>
      <c r="E4429" t="s">
        <v>15</v>
      </c>
      <c r="F4429" t="s">
        <v>10444</v>
      </c>
      <c r="G4429">
        <v>3</v>
      </c>
      <c r="H4429" t="s">
        <v>2312</v>
      </c>
      <c r="I4429" t="s">
        <v>209</v>
      </c>
      <c r="J4429" t="s">
        <v>557</v>
      </c>
      <c r="K4429" t="s">
        <v>56</v>
      </c>
      <c r="L4429" t="s">
        <v>1045</v>
      </c>
      <c r="M4429" s="3" t="str">
        <f>HYPERLINK("..\..\Imagery\ScannedPhotos\1995\VN95-204.1.jpg")</f>
        <v>..\..\Imagery\ScannedPhotos\1995\VN95-204.1.jpg</v>
      </c>
    </row>
    <row r="4430" spans="1:14" x14ac:dyDescent="0.25">
      <c r="A4430" t="s">
        <v>7333</v>
      </c>
      <c r="B4430">
        <v>485000</v>
      </c>
      <c r="C4430">
        <v>6033350</v>
      </c>
      <c r="D4430">
        <v>21</v>
      </c>
      <c r="E4430" t="s">
        <v>15</v>
      </c>
      <c r="F4430" t="s">
        <v>10445</v>
      </c>
      <c r="G4430">
        <v>3</v>
      </c>
      <c r="H4430" t="s">
        <v>1518</v>
      </c>
      <c r="I4430" t="s">
        <v>401</v>
      </c>
      <c r="J4430" t="s">
        <v>48</v>
      </c>
      <c r="K4430" t="s">
        <v>20</v>
      </c>
      <c r="L4430" t="s">
        <v>10446</v>
      </c>
      <c r="M4430" s="3" t="str">
        <f>HYPERLINK("..\..\Imagery\ScannedPhotos\1982\CG82-028.2.jpg")</f>
        <v>..\..\Imagery\ScannedPhotos\1982\CG82-028.2.jpg</v>
      </c>
    </row>
    <row r="4431" spans="1:14" x14ac:dyDescent="0.25">
      <c r="A4431" t="s">
        <v>10447</v>
      </c>
      <c r="B4431">
        <v>401161</v>
      </c>
      <c r="C4431">
        <v>5800864</v>
      </c>
      <c r="D4431">
        <v>21</v>
      </c>
      <c r="E4431" t="s">
        <v>15</v>
      </c>
      <c r="F4431" t="s">
        <v>10448</v>
      </c>
      <c r="G4431">
        <v>1</v>
      </c>
      <c r="H4431" t="s">
        <v>6227</v>
      </c>
      <c r="I4431" t="s">
        <v>108</v>
      </c>
      <c r="J4431" t="s">
        <v>6228</v>
      </c>
      <c r="K4431" t="s">
        <v>228</v>
      </c>
      <c r="L4431" t="s">
        <v>10449</v>
      </c>
      <c r="M4431" s="3" t="str">
        <f>HYPERLINK("..\..\Imagery\ScannedPhotos\1999\CG99-347.jpg")</f>
        <v>..\..\Imagery\ScannedPhotos\1999\CG99-347.jpg</v>
      </c>
    </row>
    <row r="4432" spans="1:14" x14ac:dyDescent="0.25">
      <c r="A4432" t="s">
        <v>8168</v>
      </c>
      <c r="B4432">
        <v>535210</v>
      </c>
      <c r="C4432">
        <v>5734410</v>
      </c>
      <c r="D4432">
        <v>21</v>
      </c>
      <c r="E4432" t="s">
        <v>15</v>
      </c>
      <c r="F4432" t="s">
        <v>10450</v>
      </c>
      <c r="G4432">
        <v>2</v>
      </c>
      <c r="H4432" t="s">
        <v>2355</v>
      </c>
      <c r="I4432" t="s">
        <v>195</v>
      </c>
      <c r="J4432" t="s">
        <v>886</v>
      </c>
      <c r="K4432" t="s">
        <v>20</v>
      </c>
      <c r="L4432" t="s">
        <v>642</v>
      </c>
      <c r="M4432" s="3" t="str">
        <f>HYPERLINK("..\..\Imagery\ScannedPhotos\1993\VN93-052.2.jpg")</f>
        <v>..\..\Imagery\ScannedPhotos\1993\VN93-052.2.jpg</v>
      </c>
    </row>
    <row r="4433" spans="1:14" x14ac:dyDescent="0.25">
      <c r="A4433" t="s">
        <v>10451</v>
      </c>
      <c r="B4433">
        <v>529208</v>
      </c>
      <c r="C4433">
        <v>5731029</v>
      </c>
      <c r="D4433">
        <v>21</v>
      </c>
      <c r="E4433" t="s">
        <v>15</v>
      </c>
      <c r="F4433" t="s">
        <v>10452</v>
      </c>
      <c r="G4433">
        <v>1</v>
      </c>
      <c r="H4433" t="s">
        <v>2355</v>
      </c>
      <c r="I4433" t="s">
        <v>360</v>
      </c>
      <c r="J4433" t="s">
        <v>886</v>
      </c>
      <c r="K4433" t="s">
        <v>20</v>
      </c>
      <c r="L4433" t="s">
        <v>10453</v>
      </c>
      <c r="M4433" s="3" t="str">
        <f>HYPERLINK("..\..\Imagery\ScannedPhotos\1993\VN93-061.jpg")</f>
        <v>..\..\Imagery\ScannedPhotos\1993\VN93-061.jpg</v>
      </c>
    </row>
    <row r="4434" spans="1:14" x14ac:dyDescent="0.25">
      <c r="A4434" t="s">
        <v>9122</v>
      </c>
      <c r="B4434">
        <v>461000</v>
      </c>
      <c r="C4434">
        <v>5903750</v>
      </c>
      <c r="D4434">
        <v>21</v>
      </c>
      <c r="E4434" t="s">
        <v>15</v>
      </c>
      <c r="F4434" t="s">
        <v>10454</v>
      </c>
      <c r="G4434">
        <v>1</v>
      </c>
      <c r="H4434" t="s">
        <v>60</v>
      </c>
      <c r="I4434" t="s">
        <v>74</v>
      </c>
      <c r="J4434" t="s">
        <v>61</v>
      </c>
      <c r="K4434" t="s">
        <v>56</v>
      </c>
      <c r="L4434" t="s">
        <v>10455</v>
      </c>
      <c r="M4434" s="3" t="str">
        <f>HYPERLINK("..\..\Imagery\ScannedPhotos\1984\CG84-187.1.jpg")</f>
        <v>..\..\Imagery\ScannedPhotos\1984\CG84-187.1.jpg</v>
      </c>
    </row>
    <row r="4435" spans="1:14" x14ac:dyDescent="0.25">
      <c r="A4435" t="s">
        <v>9988</v>
      </c>
      <c r="B4435">
        <v>402283</v>
      </c>
      <c r="C4435">
        <v>5790239</v>
      </c>
      <c r="D4435">
        <v>21</v>
      </c>
      <c r="E4435" t="s">
        <v>15</v>
      </c>
      <c r="F4435" t="s">
        <v>10456</v>
      </c>
      <c r="G4435">
        <v>3</v>
      </c>
      <c r="H4435" t="s">
        <v>6227</v>
      </c>
      <c r="I4435" t="s">
        <v>147</v>
      </c>
      <c r="J4435" t="s">
        <v>6228</v>
      </c>
      <c r="K4435" t="s">
        <v>20</v>
      </c>
      <c r="L4435" t="s">
        <v>10457</v>
      </c>
      <c r="M4435" s="3" t="str">
        <f>HYPERLINK("..\..\Imagery\ScannedPhotos\1999\CG99-352.3.jpg")</f>
        <v>..\..\Imagery\ScannedPhotos\1999\CG99-352.3.jpg</v>
      </c>
    </row>
    <row r="4436" spans="1:14" x14ac:dyDescent="0.25">
      <c r="A4436" t="s">
        <v>10458</v>
      </c>
      <c r="B4436">
        <v>362930</v>
      </c>
      <c r="C4436">
        <v>5765194</v>
      </c>
      <c r="D4436">
        <v>21</v>
      </c>
      <c r="E4436" t="s">
        <v>15</v>
      </c>
      <c r="F4436" t="s">
        <v>10459</v>
      </c>
      <c r="G4436">
        <v>1</v>
      </c>
      <c r="H4436" t="s">
        <v>3404</v>
      </c>
      <c r="I4436" t="s">
        <v>114</v>
      </c>
      <c r="J4436" t="s">
        <v>80</v>
      </c>
      <c r="K4436" t="s">
        <v>20</v>
      </c>
      <c r="L4436" t="s">
        <v>10460</v>
      </c>
      <c r="M4436" s="3" t="str">
        <f>HYPERLINK("..\..\Imagery\ScannedPhotos\1999\CG99-364.jpg")</f>
        <v>..\..\Imagery\ScannedPhotos\1999\CG99-364.jpg</v>
      </c>
    </row>
    <row r="4437" spans="1:14" x14ac:dyDescent="0.25">
      <c r="A4437" t="s">
        <v>1360</v>
      </c>
      <c r="B4437">
        <v>584684</v>
      </c>
      <c r="C4437">
        <v>5770684</v>
      </c>
      <c r="D4437">
        <v>21</v>
      </c>
      <c r="E4437" t="s">
        <v>15</v>
      </c>
      <c r="F4437" t="s">
        <v>10461</v>
      </c>
      <c r="G4437">
        <v>7</v>
      </c>
      <c r="H4437" t="s">
        <v>1066</v>
      </c>
      <c r="I4437" t="s">
        <v>217</v>
      </c>
      <c r="J4437" t="s">
        <v>36</v>
      </c>
      <c r="K4437" t="s">
        <v>20</v>
      </c>
      <c r="L4437" t="s">
        <v>1362</v>
      </c>
      <c r="M4437" s="3" t="str">
        <f>HYPERLINK("..\..\Imagery\ScannedPhotos\1987\CG87-431.4.jpg")</f>
        <v>..\..\Imagery\ScannedPhotos\1987\CG87-431.4.jpg</v>
      </c>
    </row>
    <row r="4438" spans="1:14" x14ac:dyDescent="0.25">
      <c r="A4438" t="s">
        <v>1360</v>
      </c>
      <c r="B4438">
        <v>584684</v>
      </c>
      <c r="C4438">
        <v>5770684</v>
      </c>
      <c r="D4438">
        <v>21</v>
      </c>
      <c r="E4438" t="s">
        <v>15</v>
      </c>
      <c r="F4438" t="s">
        <v>10462</v>
      </c>
      <c r="G4438">
        <v>7</v>
      </c>
      <c r="H4438" t="s">
        <v>1066</v>
      </c>
      <c r="I4438" t="s">
        <v>214</v>
      </c>
      <c r="J4438" t="s">
        <v>36</v>
      </c>
      <c r="K4438" t="s">
        <v>20</v>
      </c>
      <c r="L4438" t="s">
        <v>1362</v>
      </c>
      <c r="M4438" s="3" t="str">
        <f>HYPERLINK("..\..\Imagery\ScannedPhotos\1987\CG87-431.5.jpg")</f>
        <v>..\..\Imagery\ScannedPhotos\1987\CG87-431.5.jpg</v>
      </c>
    </row>
    <row r="4439" spans="1:14" x14ac:dyDescent="0.25">
      <c r="A4439" t="s">
        <v>1360</v>
      </c>
      <c r="B4439">
        <v>584684</v>
      </c>
      <c r="C4439">
        <v>5770684</v>
      </c>
      <c r="D4439">
        <v>21</v>
      </c>
      <c r="E4439" t="s">
        <v>15</v>
      </c>
      <c r="F4439" t="s">
        <v>10463</v>
      </c>
      <c r="G4439">
        <v>7</v>
      </c>
      <c r="H4439" t="s">
        <v>1066</v>
      </c>
      <c r="I4439" t="s">
        <v>222</v>
      </c>
      <c r="J4439" t="s">
        <v>36</v>
      </c>
      <c r="K4439" t="s">
        <v>20</v>
      </c>
      <c r="L4439" t="s">
        <v>10464</v>
      </c>
      <c r="M4439" s="3" t="str">
        <f>HYPERLINK("..\..\Imagery\ScannedPhotos\1987\CG87-431.6.jpg")</f>
        <v>..\..\Imagery\ScannedPhotos\1987\CG87-431.6.jpg</v>
      </c>
    </row>
    <row r="4440" spans="1:14" x14ac:dyDescent="0.25">
      <c r="A4440" t="s">
        <v>7207</v>
      </c>
      <c r="B4440">
        <v>581913</v>
      </c>
      <c r="C4440">
        <v>5899217</v>
      </c>
      <c r="D4440">
        <v>21</v>
      </c>
      <c r="E4440" t="s">
        <v>15</v>
      </c>
      <c r="F4440" t="s">
        <v>10465</v>
      </c>
      <c r="G4440">
        <v>6</v>
      </c>
      <c r="H4440" t="s">
        <v>136</v>
      </c>
      <c r="I4440" t="s">
        <v>209</v>
      </c>
      <c r="J4440" t="s">
        <v>138</v>
      </c>
      <c r="K4440" t="s">
        <v>20</v>
      </c>
      <c r="L4440" t="s">
        <v>7211</v>
      </c>
      <c r="M4440" s="3" t="str">
        <f>HYPERLINK("..\..\Imagery\ScannedPhotos\1985\GM85-538.4.jpg")</f>
        <v>..\..\Imagery\ScannedPhotos\1985\GM85-538.4.jpg</v>
      </c>
    </row>
    <row r="4441" spans="1:14" x14ac:dyDescent="0.25">
      <c r="A4441" t="s">
        <v>1141</v>
      </c>
      <c r="B4441">
        <v>486017</v>
      </c>
      <c r="C4441">
        <v>5843108</v>
      </c>
      <c r="D4441">
        <v>21</v>
      </c>
      <c r="E4441" t="s">
        <v>15</v>
      </c>
      <c r="F4441" t="s">
        <v>10466</v>
      </c>
      <c r="G4441">
        <v>2</v>
      </c>
      <c r="H4441" t="s">
        <v>1128</v>
      </c>
      <c r="I4441" t="s">
        <v>114</v>
      </c>
      <c r="J4441" t="s">
        <v>1129</v>
      </c>
      <c r="K4441" t="s">
        <v>20</v>
      </c>
      <c r="L4441" t="s">
        <v>10467</v>
      </c>
      <c r="M4441" s="3" t="str">
        <f>HYPERLINK("..\..\Imagery\ScannedPhotos\1991\VN91-113.2.jpg")</f>
        <v>..\..\Imagery\ScannedPhotos\1991\VN91-113.2.jpg</v>
      </c>
    </row>
    <row r="4442" spans="1:14" x14ac:dyDescent="0.25">
      <c r="A4442" t="s">
        <v>1569</v>
      </c>
      <c r="B4442">
        <v>485917</v>
      </c>
      <c r="C4442">
        <v>5842883</v>
      </c>
      <c r="D4442">
        <v>21</v>
      </c>
      <c r="E4442" t="s">
        <v>15</v>
      </c>
      <c r="F4442" t="s">
        <v>10468</v>
      </c>
      <c r="G4442">
        <v>3</v>
      </c>
      <c r="H4442" t="s">
        <v>1128</v>
      </c>
      <c r="I4442" t="s">
        <v>119</v>
      </c>
      <c r="J4442" t="s">
        <v>1129</v>
      </c>
      <c r="K4442" t="s">
        <v>20</v>
      </c>
      <c r="L4442" t="s">
        <v>1143</v>
      </c>
      <c r="M4442" s="3" t="str">
        <f>HYPERLINK("..\..\Imagery\ScannedPhotos\1991\VN91-114.1.jpg")</f>
        <v>..\..\Imagery\ScannedPhotos\1991\VN91-114.1.jpg</v>
      </c>
    </row>
    <row r="4443" spans="1:14" x14ac:dyDescent="0.25">
      <c r="A4443" t="s">
        <v>6360</v>
      </c>
      <c r="B4443">
        <v>451009</v>
      </c>
      <c r="C4443">
        <v>5773044</v>
      </c>
      <c r="D4443">
        <v>21</v>
      </c>
      <c r="E4443" t="s">
        <v>15</v>
      </c>
      <c r="F4443" t="s">
        <v>10469</v>
      </c>
      <c r="G4443">
        <v>9</v>
      </c>
      <c r="H4443" t="s">
        <v>2439</v>
      </c>
      <c r="I4443" t="s">
        <v>647</v>
      </c>
      <c r="J4443" t="s">
        <v>2440</v>
      </c>
      <c r="K4443" t="s">
        <v>228</v>
      </c>
      <c r="L4443" t="s">
        <v>10470</v>
      </c>
      <c r="M4443" s="3" t="str">
        <f>HYPERLINK("..\..\Imagery\ScannedPhotos\1992\VN92-161.9E.jpg")</f>
        <v>..\..\Imagery\ScannedPhotos\1992\VN92-161.9E.jpg</v>
      </c>
      <c r="N4443" t="s">
        <v>1808</v>
      </c>
    </row>
    <row r="4444" spans="1:14" x14ac:dyDescent="0.25">
      <c r="A4444" t="s">
        <v>8357</v>
      </c>
      <c r="B4444">
        <v>528574</v>
      </c>
      <c r="C4444">
        <v>5731649</v>
      </c>
      <c r="D4444">
        <v>21</v>
      </c>
      <c r="E4444" t="s">
        <v>15</v>
      </c>
      <c r="F4444" t="s">
        <v>10471</v>
      </c>
      <c r="G4444">
        <v>2</v>
      </c>
      <c r="H4444" t="s">
        <v>1061</v>
      </c>
      <c r="I4444" t="s">
        <v>647</v>
      </c>
      <c r="J4444" t="s">
        <v>1062</v>
      </c>
      <c r="K4444" t="s">
        <v>20</v>
      </c>
      <c r="L4444" t="s">
        <v>8359</v>
      </c>
      <c r="M4444" s="3" t="str">
        <f>HYPERLINK("..\..\Imagery\ScannedPhotos\1993\CG93-027.1cropped.jpg")</f>
        <v>..\..\Imagery\ScannedPhotos\1993\CG93-027.1cropped.jpg</v>
      </c>
      <c r="N4444" t="s">
        <v>4297</v>
      </c>
    </row>
    <row r="4445" spans="1:14" x14ac:dyDescent="0.25">
      <c r="A4445" t="s">
        <v>10472</v>
      </c>
      <c r="B4445">
        <v>527939</v>
      </c>
      <c r="C4445">
        <v>5732065</v>
      </c>
      <c r="D4445">
        <v>21</v>
      </c>
      <c r="E4445" t="s">
        <v>15</v>
      </c>
      <c r="F4445" t="s">
        <v>10473</v>
      </c>
      <c r="G4445">
        <v>1</v>
      </c>
      <c r="H4445" t="s">
        <v>885</v>
      </c>
      <c r="I4445" t="s">
        <v>69</v>
      </c>
      <c r="J4445" t="s">
        <v>886</v>
      </c>
      <c r="K4445" t="s">
        <v>20</v>
      </c>
      <c r="L4445" t="s">
        <v>10474</v>
      </c>
      <c r="M4445" s="3" t="str">
        <f>HYPERLINK("..\..\Imagery\ScannedPhotos\1993\CG93-057cropped.jpg")</f>
        <v>..\..\Imagery\ScannedPhotos\1993\CG93-057cropped.jpg</v>
      </c>
      <c r="N4445" t="s">
        <v>4297</v>
      </c>
    </row>
    <row r="4446" spans="1:14" x14ac:dyDescent="0.25">
      <c r="A4446" t="s">
        <v>10475</v>
      </c>
      <c r="B4446">
        <v>526075</v>
      </c>
      <c r="C4446">
        <v>5733201</v>
      </c>
      <c r="D4446">
        <v>21</v>
      </c>
      <c r="E4446" t="s">
        <v>15</v>
      </c>
      <c r="F4446" t="s">
        <v>10476</v>
      </c>
      <c r="G4446">
        <v>1</v>
      </c>
      <c r="H4446" t="s">
        <v>885</v>
      </c>
      <c r="I4446" t="s">
        <v>41</v>
      </c>
      <c r="J4446" t="s">
        <v>886</v>
      </c>
      <c r="K4446" t="s">
        <v>20</v>
      </c>
      <c r="L4446" t="s">
        <v>10477</v>
      </c>
      <c r="M4446" s="3" t="str">
        <f>HYPERLINK("..\..\Imagery\ScannedPhotos\1993\CG93-062cropped.jpg")</f>
        <v>..\..\Imagery\ScannedPhotos\1993\CG93-062cropped.jpg</v>
      </c>
      <c r="N4446" t="s">
        <v>4297</v>
      </c>
    </row>
    <row r="4447" spans="1:14" x14ac:dyDescent="0.25">
      <c r="A4447" t="s">
        <v>10478</v>
      </c>
      <c r="B4447">
        <v>542071</v>
      </c>
      <c r="C4447">
        <v>5731078</v>
      </c>
      <c r="D4447">
        <v>21</v>
      </c>
      <c r="E4447" t="s">
        <v>15</v>
      </c>
      <c r="F4447" t="s">
        <v>10479</v>
      </c>
      <c r="G4447">
        <v>1</v>
      </c>
      <c r="H4447" t="s">
        <v>885</v>
      </c>
      <c r="I4447" t="s">
        <v>209</v>
      </c>
      <c r="J4447" t="s">
        <v>886</v>
      </c>
      <c r="K4447" t="s">
        <v>20</v>
      </c>
      <c r="L4447" t="s">
        <v>10480</v>
      </c>
      <c r="M4447" s="3" t="str">
        <f>HYPERLINK("..\..\Imagery\ScannedPhotos\1993\CG93-071cropped.jpg")</f>
        <v>..\..\Imagery\ScannedPhotos\1993\CG93-071cropped.jpg</v>
      </c>
      <c r="N4447" t="s">
        <v>4297</v>
      </c>
    </row>
    <row r="4448" spans="1:14" x14ac:dyDescent="0.25">
      <c r="A4448" t="s">
        <v>10481</v>
      </c>
      <c r="B4448">
        <v>529150</v>
      </c>
      <c r="C4448">
        <v>5734138</v>
      </c>
      <c r="D4448">
        <v>21</v>
      </c>
      <c r="E4448" t="s">
        <v>15</v>
      </c>
      <c r="F4448" t="s">
        <v>10482</v>
      </c>
      <c r="G4448">
        <v>1</v>
      </c>
      <c r="H4448" t="s">
        <v>885</v>
      </c>
      <c r="I4448" t="s">
        <v>222</v>
      </c>
      <c r="J4448" t="s">
        <v>886</v>
      </c>
      <c r="K4448" t="s">
        <v>56</v>
      </c>
      <c r="L4448" t="s">
        <v>10483</v>
      </c>
      <c r="M4448" s="3" t="str">
        <f>HYPERLINK("..\..\Imagery\ScannedPhotos\1993\CG93-098cropped.jpg")</f>
        <v>..\..\Imagery\ScannedPhotos\1993\CG93-098cropped.jpg</v>
      </c>
      <c r="N4448" t="s">
        <v>4297</v>
      </c>
    </row>
    <row r="4449" spans="1:14" x14ac:dyDescent="0.25">
      <c r="A4449" t="s">
        <v>907</v>
      </c>
      <c r="B4449">
        <v>534880</v>
      </c>
      <c r="C4449">
        <v>5726220</v>
      </c>
      <c r="D4449">
        <v>21</v>
      </c>
      <c r="E4449" t="s">
        <v>15</v>
      </c>
      <c r="F4449" t="s">
        <v>10484</v>
      </c>
      <c r="G4449">
        <v>4</v>
      </c>
      <c r="H4449" t="s">
        <v>885</v>
      </c>
      <c r="I4449" t="s">
        <v>304</v>
      </c>
      <c r="J4449" t="s">
        <v>886</v>
      </c>
      <c r="K4449" t="s">
        <v>20</v>
      </c>
      <c r="L4449" t="s">
        <v>10485</v>
      </c>
      <c r="M4449" s="3" t="str">
        <f>HYPERLINK("..\..\Imagery\ScannedPhotos\1993\CG93-119.1cropped.jpg")</f>
        <v>..\..\Imagery\ScannedPhotos\1993\CG93-119.1cropped.jpg</v>
      </c>
      <c r="N4449" t="s">
        <v>4297</v>
      </c>
    </row>
    <row r="4450" spans="1:14" x14ac:dyDescent="0.25">
      <c r="A4450" t="s">
        <v>10486</v>
      </c>
      <c r="B4450">
        <v>531041</v>
      </c>
      <c r="C4450">
        <v>5724187</v>
      </c>
      <c r="D4450">
        <v>21</v>
      </c>
      <c r="E4450" t="s">
        <v>15</v>
      </c>
      <c r="F4450" t="s">
        <v>10487</v>
      </c>
      <c r="G4450">
        <v>1</v>
      </c>
      <c r="H4450" t="s">
        <v>885</v>
      </c>
      <c r="I4450" t="s">
        <v>52</v>
      </c>
      <c r="J4450" t="s">
        <v>886</v>
      </c>
      <c r="K4450" t="s">
        <v>20</v>
      </c>
      <c r="L4450" t="s">
        <v>10488</v>
      </c>
      <c r="M4450" s="3" t="str">
        <f>HYPERLINK("..\..\Imagery\ScannedPhotos\1993\CG93-169cropped.jpg")</f>
        <v>..\..\Imagery\ScannedPhotos\1993\CG93-169cropped.jpg</v>
      </c>
      <c r="N4450" t="s">
        <v>4297</v>
      </c>
    </row>
    <row r="4451" spans="1:14" x14ac:dyDescent="0.25">
      <c r="A4451" t="s">
        <v>10489</v>
      </c>
      <c r="B4451">
        <v>456971</v>
      </c>
      <c r="C4451">
        <v>5899928</v>
      </c>
      <c r="D4451">
        <v>21</v>
      </c>
      <c r="E4451" t="s">
        <v>15</v>
      </c>
      <c r="F4451" t="s">
        <v>10490</v>
      </c>
      <c r="G4451">
        <v>1</v>
      </c>
      <c r="H4451" t="s">
        <v>3982</v>
      </c>
      <c r="I4451" t="s">
        <v>647</v>
      </c>
      <c r="J4451" t="s">
        <v>2247</v>
      </c>
      <c r="K4451" t="s">
        <v>20</v>
      </c>
      <c r="L4451" t="s">
        <v>10491</v>
      </c>
      <c r="M4451" s="3" t="str">
        <f>HYPERLINK("..\..\Imagery\ScannedPhotos\1984\CG84-440.jpg")</f>
        <v>..\..\Imagery\ScannedPhotos\1984\CG84-440.jpg</v>
      </c>
    </row>
    <row r="4452" spans="1:14" x14ac:dyDescent="0.25">
      <c r="A4452" t="s">
        <v>4504</v>
      </c>
      <c r="B4452">
        <v>464726</v>
      </c>
      <c r="C4452">
        <v>5927866</v>
      </c>
      <c r="D4452">
        <v>21</v>
      </c>
      <c r="E4452" t="s">
        <v>15</v>
      </c>
      <c r="F4452" t="s">
        <v>10492</v>
      </c>
      <c r="G4452">
        <v>8</v>
      </c>
      <c r="H4452" t="s">
        <v>4506</v>
      </c>
      <c r="I4452" t="s">
        <v>214</v>
      </c>
      <c r="J4452" t="s">
        <v>2247</v>
      </c>
      <c r="K4452" t="s">
        <v>20</v>
      </c>
      <c r="L4452" t="s">
        <v>10493</v>
      </c>
      <c r="M4452" s="3" t="str">
        <f>HYPERLINK("..\..\Imagery\ScannedPhotos\1984\CG84-442.6.jpg")</f>
        <v>..\..\Imagery\ScannedPhotos\1984\CG84-442.6.jpg</v>
      </c>
    </row>
    <row r="4453" spans="1:14" x14ac:dyDescent="0.25">
      <c r="A4453" t="s">
        <v>4504</v>
      </c>
      <c r="B4453">
        <v>464726</v>
      </c>
      <c r="C4453">
        <v>5927866</v>
      </c>
      <c r="D4453">
        <v>21</v>
      </c>
      <c r="E4453" t="s">
        <v>15</v>
      </c>
      <c r="F4453" t="s">
        <v>10494</v>
      </c>
      <c r="G4453">
        <v>8</v>
      </c>
      <c r="H4453" t="s">
        <v>4506</v>
      </c>
      <c r="I4453" t="s">
        <v>217</v>
      </c>
      <c r="J4453" t="s">
        <v>2247</v>
      </c>
      <c r="K4453" t="s">
        <v>20</v>
      </c>
      <c r="L4453" t="s">
        <v>10495</v>
      </c>
      <c r="M4453" s="3" t="str">
        <f>HYPERLINK("..\..\Imagery\ScannedPhotos\1984\CG84-442.5.jpg")</f>
        <v>..\..\Imagery\ScannedPhotos\1984\CG84-442.5.jpg</v>
      </c>
    </row>
    <row r="4454" spans="1:14" x14ac:dyDescent="0.25">
      <c r="A4454" t="s">
        <v>10496</v>
      </c>
      <c r="B4454">
        <v>414013</v>
      </c>
      <c r="C4454">
        <v>5994140</v>
      </c>
      <c r="D4454">
        <v>21</v>
      </c>
      <c r="E4454" t="s">
        <v>15</v>
      </c>
      <c r="F4454" t="s">
        <v>10497</v>
      </c>
      <c r="G4454">
        <v>2</v>
      </c>
      <c r="H4454" t="s">
        <v>758</v>
      </c>
      <c r="I4454" t="s">
        <v>143</v>
      </c>
      <c r="J4454" t="s">
        <v>759</v>
      </c>
      <c r="K4454" t="s">
        <v>20</v>
      </c>
      <c r="L4454" t="s">
        <v>10498</v>
      </c>
      <c r="M4454" s="3" t="str">
        <f>HYPERLINK("..\..\Imagery\ScannedPhotos\1980\RG80-073.1.jpg")</f>
        <v>..\..\Imagery\ScannedPhotos\1980\RG80-073.1.jpg</v>
      </c>
    </row>
    <row r="4455" spans="1:14" x14ac:dyDescent="0.25">
      <c r="A4455" t="s">
        <v>10496</v>
      </c>
      <c r="B4455">
        <v>414013</v>
      </c>
      <c r="C4455">
        <v>5994140</v>
      </c>
      <c r="D4455">
        <v>21</v>
      </c>
      <c r="E4455" t="s">
        <v>15</v>
      </c>
      <c r="F4455" t="s">
        <v>10499</v>
      </c>
      <c r="G4455">
        <v>2</v>
      </c>
      <c r="H4455" t="s">
        <v>758</v>
      </c>
      <c r="I4455" t="s">
        <v>147</v>
      </c>
      <c r="J4455" t="s">
        <v>759</v>
      </c>
      <c r="K4455" t="s">
        <v>20</v>
      </c>
      <c r="L4455" t="s">
        <v>10498</v>
      </c>
      <c r="M4455" s="3" t="str">
        <f>HYPERLINK("..\..\Imagery\ScannedPhotos\1980\RG80-073.2.jpg")</f>
        <v>..\..\Imagery\ScannedPhotos\1980\RG80-073.2.jpg</v>
      </c>
    </row>
    <row r="4456" spans="1:14" x14ac:dyDescent="0.25">
      <c r="A4456" t="s">
        <v>10500</v>
      </c>
      <c r="B4456">
        <v>560451</v>
      </c>
      <c r="C4456">
        <v>5803542</v>
      </c>
      <c r="D4456">
        <v>21</v>
      </c>
      <c r="E4456" t="s">
        <v>15</v>
      </c>
      <c r="F4456" t="s">
        <v>10501</v>
      </c>
      <c r="G4456">
        <v>1</v>
      </c>
      <c r="K4456" t="s">
        <v>56</v>
      </c>
      <c r="L4456" t="s">
        <v>10502</v>
      </c>
      <c r="M4456" s="3" t="str">
        <f>HYPERLINK("..\..\Imagery\ScannedPhotos\2003\CG03-173.jpg")</f>
        <v>..\..\Imagery\ScannedPhotos\2003\CG03-173.jpg</v>
      </c>
    </row>
    <row r="4457" spans="1:14" x14ac:dyDescent="0.25">
      <c r="A4457" t="s">
        <v>10503</v>
      </c>
      <c r="B4457">
        <v>560536</v>
      </c>
      <c r="C4457">
        <v>5804525</v>
      </c>
      <c r="D4457">
        <v>21</v>
      </c>
      <c r="E4457" t="s">
        <v>15</v>
      </c>
      <c r="F4457" t="s">
        <v>10504</v>
      </c>
      <c r="G4457">
        <v>2</v>
      </c>
      <c r="K4457" t="s">
        <v>56</v>
      </c>
      <c r="L4457" t="s">
        <v>10505</v>
      </c>
      <c r="M4457" s="3" t="str">
        <f>HYPERLINK("..\..\Imagery\ScannedPhotos\2003\CG03-176.1.jpg")</f>
        <v>..\..\Imagery\ScannedPhotos\2003\CG03-176.1.jpg</v>
      </c>
    </row>
    <row r="4458" spans="1:14" x14ac:dyDescent="0.25">
      <c r="A4458" t="s">
        <v>10503</v>
      </c>
      <c r="B4458">
        <v>560536</v>
      </c>
      <c r="C4458">
        <v>5804525</v>
      </c>
      <c r="D4458">
        <v>21</v>
      </c>
      <c r="E4458" t="s">
        <v>15</v>
      </c>
      <c r="F4458" t="s">
        <v>10506</v>
      </c>
      <c r="G4458">
        <v>2</v>
      </c>
      <c r="K4458" t="s">
        <v>56</v>
      </c>
      <c r="L4458" t="s">
        <v>10505</v>
      </c>
      <c r="M4458" s="3" t="str">
        <f>HYPERLINK("..\..\Imagery\ScannedPhotos\2003\CG03-176.2.jpg")</f>
        <v>..\..\Imagery\ScannedPhotos\2003\CG03-176.2.jpg</v>
      </c>
    </row>
    <row r="4459" spans="1:14" x14ac:dyDescent="0.25">
      <c r="A4459" t="s">
        <v>10507</v>
      </c>
      <c r="B4459">
        <v>566521</v>
      </c>
      <c r="C4459">
        <v>5841549</v>
      </c>
      <c r="D4459">
        <v>21</v>
      </c>
      <c r="E4459" t="s">
        <v>15</v>
      </c>
      <c r="F4459" t="s">
        <v>10508</v>
      </c>
      <c r="G4459">
        <v>1</v>
      </c>
      <c r="H4459" t="s">
        <v>99</v>
      </c>
      <c r="I4459" t="s">
        <v>281</v>
      </c>
      <c r="J4459" t="s">
        <v>100</v>
      </c>
      <c r="K4459" t="s">
        <v>20</v>
      </c>
      <c r="L4459" t="s">
        <v>10509</v>
      </c>
      <c r="M4459" s="3" t="str">
        <f>HYPERLINK("..\..\Imagery\ScannedPhotos\1986\MN86-356.jpg")</f>
        <v>..\..\Imagery\ScannedPhotos\1986\MN86-356.jpg</v>
      </c>
    </row>
    <row r="4460" spans="1:14" x14ac:dyDescent="0.25">
      <c r="A4460" t="s">
        <v>10510</v>
      </c>
      <c r="B4460">
        <v>566720</v>
      </c>
      <c r="C4460">
        <v>5841696</v>
      </c>
      <c r="D4460">
        <v>21</v>
      </c>
      <c r="E4460" t="s">
        <v>15</v>
      </c>
      <c r="F4460" t="s">
        <v>10511</v>
      </c>
      <c r="G4460">
        <v>1</v>
      </c>
      <c r="H4460" t="s">
        <v>99</v>
      </c>
      <c r="I4460" t="s">
        <v>137</v>
      </c>
      <c r="J4460" t="s">
        <v>100</v>
      </c>
      <c r="K4460" t="s">
        <v>20</v>
      </c>
      <c r="L4460" t="s">
        <v>10512</v>
      </c>
      <c r="M4460" s="3" t="str">
        <f>HYPERLINK("..\..\Imagery\ScannedPhotos\1986\MN86-357.jpg")</f>
        <v>..\..\Imagery\ScannedPhotos\1986\MN86-357.jpg</v>
      </c>
    </row>
    <row r="4461" spans="1:14" x14ac:dyDescent="0.25">
      <c r="A4461" t="s">
        <v>8795</v>
      </c>
      <c r="B4461">
        <v>379042</v>
      </c>
      <c r="C4461">
        <v>6077382</v>
      </c>
      <c r="D4461">
        <v>21</v>
      </c>
      <c r="E4461" t="s">
        <v>15</v>
      </c>
      <c r="F4461" t="s">
        <v>10513</v>
      </c>
      <c r="G4461">
        <v>2</v>
      </c>
      <c r="H4461" t="s">
        <v>2011</v>
      </c>
      <c r="I4461" t="s">
        <v>375</v>
      </c>
      <c r="J4461" t="s">
        <v>1624</v>
      </c>
      <c r="K4461" t="s">
        <v>56</v>
      </c>
      <c r="L4461" t="s">
        <v>10514</v>
      </c>
      <c r="M4461" s="3" t="str">
        <f>HYPERLINK("..\..\Imagery\ScannedPhotos\1978\AL78-138.1.jpg")</f>
        <v>..\..\Imagery\ScannedPhotos\1978\AL78-138.1.jpg</v>
      </c>
    </row>
    <row r="4462" spans="1:14" x14ac:dyDescent="0.25">
      <c r="A4462" t="s">
        <v>10515</v>
      </c>
      <c r="B4462">
        <v>529347</v>
      </c>
      <c r="C4462">
        <v>5722210</v>
      </c>
      <c r="D4462">
        <v>21</v>
      </c>
      <c r="E4462" t="s">
        <v>15</v>
      </c>
      <c r="F4462" t="s">
        <v>10516</v>
      </c>
      <c r="G4462">
        <v>1</v>
      </c>
      <c r="H4462" t="s">
        <v>885</v>
      </c>
      <c r="I4462" t="s">
        <v>65</v>
      </c>
      <c r="J4462" t="s">
        <v>886</v>
      </c>
      <c r="K4462" t="s">
        <v>20</v>
      </c>
      <c r="L4462" t="s">
        <v>10517</v>
      </c>
      <c r="M4462" s="3" t="str">
        <f>HYPERLINK("..\..\Imagery\ScannedPhotos\1993\CG93-175.1.jpg")</f>
        <v>..\..\Imagery\ScannedPhotos\1993\CG93-175.1.jpg</v>
      </c>
    </row>
    <row r="4463" spans="1:14" x14ac:dyDescent="0.25">
      <c r="A4463" t="s">
        <v>10518</v>
      </c>
      <c r="B4463">
        <v>577977</v>
      </c>
      <c r="C4463">
        <v>5862673</v>
      </c>
      <c r="D4463">
        <v>21</v>
      </c>
      <c r="E4463" t="s">
        <v>15</v>
      </c>
      <c r="F4463" t="s">
        <v>10519</v>
      </c>
      <c r="G4463">
        <v>2</v>
      </c>
      <c r="H4463" t="s">
        <v>874</v>
      </c>
      <c r="I4463" t="s">
        <v>18</v>
      </c>
      <c r="J4463" t="s">
        <v>300</v>
      </c>
      <c r="K4463" t="s">
        <v>20</v>
      </c>
      <c r="L4463" t="s">
        <v>10520</v>
      </c>
      <c r="M4463" s="3" t="str">
        <f>HYPERLINK("..\..\Imagery\ScannedPhotos\1986\SN86-309.2.jpg")</f>
        <v>..\..\Imagery\ScannedPhotos\1986\SN86-309.2.jpg</v>
      </c>
    </row>
    <row r="4464" spans="1:14" x14ac:dyDescent="0.25">
      <c r="A4464" t="s">
        <v>7647</v>
      </c>
      <c r="B4464">
        <v>578078</v>
      </c>
      <c r="C4464">
        <v>5862217</v>
      </c>
      <c r="D4464">
        <v>21</v>
      </c>
      <c r="E4464" t="s">
        <v>15</v>
      </c>
      <c r="F4464" t="s">
        <v>10521</v>
      </c>
      <c r="G4464">
        <v>3</v>
      </c>
      <c r="H4464" t="s">
        <v>874</v>
      </c>
      <c r="I4464" t="s">
        <v>41</v>
      </c>
      <c r="J4464" t="s">
        <v>300</v>
      </c>
      <c r="K4464" t="s">
        <v>20</v>
      </c>
      <c r="L4464" t="s">
        <v>71</v>
      </c>
      <c r="M4464" s="3" t="str">
        <f>HYPERLINK("..\..\Imagery\ScannedPhotos\1986\SN86-310.2.jpg")</f>
        <v>..\..\Imagery\ScannedPhotos\1986\SN86-310.2.jpg</v>
      </c>
    </row>
    <row r="4465" spans="1:13" x14ac:dyDescent="0.25">
      <c r="A4465" t="s">
        <v>4504</v>
      </c>
      <c r="B4465">
        <v>464726</v>
      </c>
      <c r="C4465">
        <v>5927866</v>
      </c>
      <c r="D4465">
        <v>21</v>
      </c>
      <c r="E4465" t="s">
        <v>15</v>
      </c>
      <c r="F4465" t="s">
        <v>10522</v>
      </c>
      <c r="G4465">
        <v>8</v>
      </c>
      <c r="H4465" t="s">
        <v>4506</v>
      </c>
      <c r="I4465" t="s">
        <v>209</v>
      </c>
      <c r="J4465" t="s">
        <v>2247</v>
      </c>
      <c r="K4465" t="s">
        <v>20</v>
      </c>
      <c r="L4465" t="s">
        <v>10523</v>
      </c>
      <c r="M4465" s="3" t="str">
        <f>HYPERLINK("..\..\Imagery\ScannedPhotos\1984\CG84-442.3.jpg")</f>
        <v>..\..\Imagery\ScannedPhotos\1984\CG84-442.3.jpg</v>
      </c>
    </row>
    <row r="4466" spans="1:13" x14ac:dyDescent="0.25">
      <c r="A4466" t="s">
        <v>4504</v>
      </c>
      <c r="B4466">
        <v>464726</v>
      </c>
      <c r="C4466">
        <v>5927866</v>
      </c>
      <c r="D4466">
        <v>21</v>
      </c>
      <c r="E4466" t="s">
        <v>15</v>
      </c>
      <c r="F4466" t="s">
        <v>10524</v>
      </c>
      <c r="G4466">
        <v>8</v>
      </c>
      <c r="H4466" t="s">
        <v>4506</v>
      </c>
      <c r="I4466" t="s">
        <v>85</v>
      </c>
      <c r="J4466" t="s">
        <v>2247</v>
      </c>
      <c r="K4466" t="s">
        <v>56</v>
      </c>
      <c r="L4466" t="s">
        <v>10525</v>
      </c>
      <c r="M4466" s="3" t="str">
        <f>HYPERLINK("..\..\Imagery\ScannedPhotos\1984\CG84-442.1.jpg")</f>
        <v>..\..\Imagery\ScannedPhotos\1984\CG84-442.1.jpg</v>
      </c>
    </row>
    <row r="4467" spans="1:13" x14ac:dyDescent="0.25">
      <c r="A4467" t="s">
        <v>970</v>
      </c>
      <c r="B4467">
        <v>442431</v>
      </c>
      <c r="C4467">
        <v>5995299</v>
      </c>
      <c r="D4467">
        <v>21</v>
      </c>
      <c r="E4467" t="s">
        <v>15</v>
      </c>
      <c r="F4467" t="s">
        <v>10526</v>
      </c>
      <c r="G4467">
        <v>13</v>
      </c>
      <c r="H4467" t="s">
        <v>972</v>
      </c>
      <c r="I4467" t="s">
        <v>375</v>
      </c>
      <c r="J4467" t="s">
        <v>807</v>
      </c>
      <c r="K4467" t="s">
        <v>20</v>
      </c>
      <c r="L4467" t="s">
        <v>973</v>
      </c>
      <c r="M4467" s="3" t="str">
        <f>HYPERLINK("..\..\Imagery\ScannedPhotos\1980\RG80-133.11.jpg")</f>
        <v>..\..\Imagery\ScannedPhotos\1980\RG80-133.11.jpg</v>
      </c>
    </row>
    <row r="4468" spans="1:13" x14ac:dyDescent="0.25">
      <c r="A4468" t="s">
        <v>970</v>
      </c>
      <c r="B4468">
        <v>442431</v>
      </c>
      <c r="C4468">
        <v>5995299</v>
      </c>
      <c r="D4468">
        <v>21</v>
      </c>
      <c r="E4468" t="s">
        <v>15</v>
      </c>
      <c r="F4468" t="s">
        <v>10527</v>
      </c>
      <c r="G4468">
        <v>13</v>
      </c>
      <c r="H4468" t="s">
        <v>972</v>
      </c>
      <c r="I4468" t="s">
        <v>137</v>
      </c>
      <c r="J4468" t="s">
        <v>807</v>
      </c>
      <c r="K4468" t="s">
        <v>20</v>
      </c>
      <c r="L4468" t="s">
        <v>973</v>
      </c>
      <c r="M4468" s="3" t="str">
        <f>HYPERLINK("..\..\Imagery\ScannedPhotos\1980\RG80-133.4.jpg")</f>
        <v>..\..\Imagery\ScannedPhotos\1980\RG80-133.4.jpg</v>
      </c>
    </row>
    <row r="4469" spans="1:13" x14ac:dyDescent="0.25">
      <c r="A4469" t="s">
        <v>970</v>
      </c>
      <c r="B4469">
        <v>442431</v>
      </c>
      <c r="C4469">
        <v>5995299</v>
      </c>
      <c r="D4469">
        <v>21</v>
      </c>
      <c r="E4469" t="s">
        <v>15</v>
      </c>
      <c r="F4469" t="s">
        <v>10528</v>
      </c>
      <c r="G4469">
        <v>13</v>
      </c>
      <c r="H4469" t="s">
        <v>972</v>
      </c>
      <c r="I4469" t="s">
        <v>35</v>
      </c>
      <c r="J4469" t="s">
        <v>807</v>
      </c>
      <c r="K4469" t="s">
        <v>20</v>
      </c>
      <c r="L4469" t="s">
        <v>973</v>
      </c>
      <c r="M4469" s="3" t="str">
        <f>HYPERLINK("..\..\Imagery\ScannedPhotos\1980\RG80-133.6.jpg")</f>
        <v>..\..\Imagery\ScannedPhotos\1980\RG80-133.6.jpg</v>
      </c>
    </row>
    <row r="4470" spans="1:13" x14ac:dyDescent="0.25">
      <c r="A4470" t="s">
        <v>10529</v>
      </c>
      <c r="B4470">
        <v>434845</v>
      </c>
      <c r="C4470">
        <v>5832703</v>
      </c>
      <c r="D4470">
        <v>21</v>
      </c>
      <c r="E4470" t="s">
        <v>15</v>
      </c>
      <c r="F4470" t="s">
        <v>10530</v>
      </c>
      <c r="G4470">
        <v>1</v>
      </c>
      <c r="H4470" t="s">
        <v>1037</v>
      </c>
      <c r="I4470" t="s">
        <v>94</v>
      </c>
      <c r="J4470" t="s">
        <v>1038</v>
      </c>
      <c r="K4470" t="s">
        <v>20</v>
      </c>
      <c r="L4470" t="s">
        <v>10531</v>
      </c>
      <c r="M4470" s="3" t="str">
        <f>HYPERLINK("..\..\Imagery\ScannedPhotos\1991\VN91-441.jpg")</f>
        <v>..\..\Imagery\ScannedPhotos\1991\VN91-441.jpg</v>
      </c>
    </row>
    <row r="4471" spans="1:13" x14ac:dyDescent="0.25">
      <c r="A4471" t="s">
        <v>10532</v>
      </c>
      <c r="B4471">
        <v>333340</v>
      </c>
      <c r="C4471">
        <v>5998894</v>
      </c>
      <c r="D4471">
        <v>21</v>
      </c>
      <c r="E4471" t="s">
        <v>15</v>
      </c>
      <c r="F4471" t="s">
        <v>10533</v>
      </c>
      <c r="G4471">
        <v>1</v>
      </c>
      <c r="H4471" t="s">
        <v>268</v>
      </c>
      <c r="I4471" t="s">
        <v>35</v>
      </c>
      <c r="J4471" t="s">
        <v>269</v>
      </c>
      <c r="K4471" t="s">
        <v>20</v>
      </c>
      <c r="L4471" t="s">
        <v>10534</v>
      </c>
      <c r="M4471" s="3" t="str">
        <f>HYPERLINK("..\..\Imagery\ScannedPhotos\1983\CG83-349.jpg")</f>
        <v>..\..\Imagery\ScannedPhotos\1983\CG83-349.jpg</v>
      </c>
    </row>
    <row r="4472" spans="1:13" x14ac:dyDescent="0.25">
      <c r="A4472" t="s">
        <v>10535</v>
      </c>
      <c r="B4472">
        <v>329775</v>
      </c>
      <c r="C4472">
        <v>6011118</v>
      </c>
      <c r="D4472">
        <v>21</v>
      </c>
      <c r="E4472" t="s">
        <v>15</v>
      </c>
      <c r="F4472" t="s">
        <v>10536</v>
      </c>
      <c r="G4472">
        <v>2</v>
      </c>
      <c r="H4472" t="s">
        <v>268</v>
      </c>
      <c r="I4472" t="s">
        <v>74</v>
      </c>
      <c r="J4472" t="s">
        <v>269</v>
      </c>
      <c r="K4472" t="s">
        <v>228</v>
      </c>
      <c r="L4472" t="s">
        <v>10537</v>
      </c>
      <c r="M4472" s="3" t="str">
        <f>HYPERLINK("..\..\Imagery\ScannedPhotos\1983\CG83-376.2.jpg")</f>
        <v>..\..\Imagery\ScannedPhotos\1983\CG83-376.2.jpg</v>
      </c>
    </row>
    <row r="4473" spans="1:13" x14ac:dyDescent="0.25">
      <c r="A4473" t="s">
        <v>10538</v>
      </c>
      <c r="B4473">
        <v>326363</v>
      </c>
      <c r="C4473">
        <v>5997300</v>
      </c>
      <c r="D4473">
        <v>21</v>
      </c>
      <c r="E4473" t="s">
        <v>15</v>
      </c>
      <c r="F4473" t="s">
        <v>10539</v>
      </c>
      <c r="G4473">
        <v>3</v>
      </c>
      <c r="H4473" t="s">
        <v>268</v>
      </c>
      <c r="I4473" t="s">
        <v>85</v>
      </c>
      <c r="J4473" t="s">
        <v>269</v>
      </c>
      <c r="K4473" t="s">
        <v>20</v>
      </c>
      <c r="L4473" t="s">
        <v>10540</v>
      </c>
      <c r="M4473" s="3" t="str">
        <f>HYPERLINK("..\..\Imagery\ScannedPhotos\1983\CG83-411.2.jpg")</f>
        <v>..\..\Imagery\ScannedPhotos\1983\CG83-411.2.jpg</v>
      </c>
    </row>
    <row r="4474" spans="1:13" x14ac:dyDescent="0.25">
      <c r="A4474" t="s">
        <v>10541</v>
      </c>
      <c r="B4474">
        <v>379474</v>
      </c>
      <c r="C4474">
        <v>5979549</v>
      </c>
      <c r="D4474">
        <v>21</v>
      </c>
      <c r="E4474" t="s">
        <v>15</v>
      </c>
      <c r="F4474" t="s">
        <v>10542</v>
      </c>
      <c r="G4474">
        <v>4</v>
      </c>
      <c r="H4474" t="s">
        <v>622</v>
      </c>
      <c r="I4474" t="s">
        <v>143</v>
      </c>
      <c r="J4474" t="s">
        <v>623</v>
      </c>
      <c r="K4474" t="s">
        <v>20</v>
      </c>
      <c r="L4474" t="s">
        <v>10543</v>
      </c>
      <c r="M4474" s="3" t="str">
        <f>HYPERLINK("..\..\Imagery\ScannedPhotos\1980\NN80-175.1.jpg")</f>
        <v>..\..\Imagery\ScannedPhotos\1980\NN80-175.1.jpg</v>
      </c>
    </row>
    <row r="4475" spans="1:13" x14ac:dyDescent="0.25">
      <c r="A4475" t="s">
        <v>2714</v>
      </c>
      <c r="B4475">
        <v>471518</v>
      </c>
      <c r="C4475">
        <v>5938237</v>
      </c>
      <c r="D4475">
        <v>21</v>
      </c>
      <c r="E4475" t="s">
        <v>15</v>
      </c>
      <c r="F4475" t="s">
        <v>10544</v>
      </c>
      <c r="G4475">
        <v>12</v>
      </c>
      <c r="H4475" t="s">
        <v>107</v>
      </c>
      <c r="I4475" t="s">
        <v>304</v>
      </c>
      <c r="J4475" t="s">
        <v>48</v>
      </c>
      <c r="K4475" t="s">
        <v>20</v>
      </c>
      <c r="L4475" t="s">
        <v>1020</v>
      </c>
      <c r="M4475" s="3" t="str">
        <f>HYPERLINK("..\..\Imagery\ScannedPhotos\1981\CG81-175.3.jpg")</f>
        <v>..\..\Imagery\ScannedPhotos\1981\CG81-175.3.jpg</v>
      </c>
    </row>
    <row r="4476" spans="1:13" x14ac:dyDescent="0.25">
      <c r="A4476" t="s">
        <v>2714</v>
      </c>
      <c r="B4476">
        <v>471518</v>
      </c>
      <c r="C4476">
        <v>5938237</v>
      </c>
      <c r="D4476">
        <v>21</v>
      </c>
      <c r="E4476" t="s">
        <v>15</v>
      </c>
      <c r="F4476" t="s">
        <v>10545</v>
      </c>
      <c r="G4476">
        <v>12</v>
      </c>
      <c r="H4476" t="s">
        <v>107</v>
      </c>
      <c r="I4476" t="s">
        <v>418</v>
      </c>
      <c r="J4476" t="s">
        <v>48</v>
      </c>
      <c r="K4476" t="s">
        <v>56</v>
      </c>
      <c r="L4476" t="s">
        <v>1020</v>
      </c>
      <c r="M4476" s="3" t="str">
        <f>HYPERLINK("..\..\Imagery\ScannedPhotos\1981\CG81-175.2.jpg")</f>
        <v>..\..\Imagery\ScannedPhotos\1981\CG81-175.2.jpg</v>
      </c>
    </row>
    <row r="4477" spans="1:13" x14ac:dyDescent="0.25">
      <c r="A4477" t="s">
        <v>2714</v>
      </c>
      <c r="B4477">
        <v>471518</v>
      </c>
      <c r="C4477">
        <v>5938237</v>
      </c>
      <c r="D4477">
        <v>21</v>
      </c>
      <c r="E4477" t="s">
        <v>15</v>
      </c>
      <c r="F4477" t="s">
        <v>10546</v>
      </c>
      <c r="G4477">
        <v>12</v>
      </c>
      <c r="H4477" t="s">
        <v>4820</v>
      </c>
      <c r="I4477" t="s">
        <v>79</v>
      </c>
      <c r="J4477" t="s">
        <v>4821</v>
      </c>
      <c r="K4477" t="s">
        <v>20</v>
      </c>
      <c r="L4477" t="s">
        <v>10547</v>
      </c>
      <c r="M4477" s="3" t="str">
        <f>HYPERLINK("..\..\Imagery\ScannedPhotos\1981\CG81-175.6.jpg")</f>
        <v>..\..\Imagery\ScannedPhotos\1981\CG81-175.6.jpg</v>
      </c>
    </row>
    <row r="4478" spans="1:13" x14ac:dyDescent="0.25">
      <c r="A4478" t="s">
        <v>2714</v>
      </c>
      <c r="B4478">
        <v>471518</v>
      </c>
      <c r="C4478">
        <v>5938237</v>
      </c>
      <c r="D4478">
        <v>21</v>
      </c>
      <c r="E4478" t="s">
        <v>15</v>
      </c>
      <c r="F4478" t="s">
        <v>10548</v>
      </c>
      <c r="G4478">
        <v>12</v>
      </c>
      <c r="H4478" t="s">
        <v>1333</v>
      </c>
      <c r="I4478" t="s">
        <v>18</v>
      </c>
      <c r="J4478" t="s">
        <v>1334</v>
      </c>
      <c r="K4478" t="s">
        <v>20</v>
      </c>
      <c r="L4478" t="s">
        <v>10549</v>
      </c>
      <c r="M4478" s="3" t="str">
        <f>HYPERLINK("..\..\Imagery\ScannedPhotos\1981\CG81-175.5.jpg")</f>
        <v>..\..\Imagery\ScannedPhotos\1981\CG81-175.5.jpg</v>
      </c>
    </row>
    <row r="4479" spans="1:13" x14ac:dyDescent="0.25">
      <c r="A4479" t="s">
        <v>2714</v>
      </c>
      <c r="B4479">
        <v>471518</v>
      </c>
      <c r="C4479">
        <v>5938237</v>
      </c>
      <c r="D4479">
        <v>21</v>
      </c>
      <c r="E4479" t="s">
        <v>15</v>
      </c>
      <c r="F4479" t="s">
        <v>10550</v>
      </c>
      <c r="G4479">
        <v>12</v>
      </c>
      <c r="H4479" t="s">
        <v>4820</v>
      </c>
      <c r="I4479" t="s">
        <v>281</v>
      </c>
      <c r="J4479" t="s">
        <v>4821</v>
      </c>
      <c r="K4479" t="s">
        <v>20</v>
      </c>
      <c r="L4479" t="s">
        <v>10547</v>
      </c>
      <c r="M4479" s="3" t="str">
        <f>HYPERLINK("..\..\Imagery\ScannedPhotos\1981\CG81-175.7.jpg")</f>
        <v>..\..\Imagery\ScannedPhotos\1981\CG81-175.7.jpg</v>
      </c>
    </row>
    <row r="4480" spans="1:13" x14ac:dyDescent="0.25">
      <c r="A4480" t="s">
        <v>54</v>
      </c>
      <c r="B4480">
        <v>596574</v>
      </c>
      <c r="C4480">
        <v>5792830</v>
      </c>
      <c r="D4480">
        <v>21</v>
      </c>
      <c r="E4480" t="s">
        <v>15</v>
      </c>
      <c r="F4480" t="s">
        <v>10551</v>
      </c>
      <c r="G4480">
        <v>2</v>
      </c>
      <c r="K4480" t="s">
        <v>20</v>
      </c>
      <c r="L4480" t="s">
        <v>10552</v>
      </c>
      <c r="M4480" s="3" t="str">
        <f>HYPERLINK("..\..\Imagery\ScannedPhotos\2007\CG07-188.2.jpg")</f>
        <v>..\..\Imagery\ScannedPhotos\2007\CG07-188.2.jpg</v>
      </c>
    </row>
    <row r="4481" spans="1:13" x14ac:dyDescent="0.25">
      <c r="A4481" t="s">
        <v>10553</v>
      </c>
      <c r="B4481">
        <v>596288</v>
      </c>
      <c r="C4481">
        <v>5792586</v>
      </c>
      <c r="D4481">
        <v>21</v>
      </c>
      <c r="E4481" t="s">
        <v>15</v>
      </c>
      <c r="F4481" t="s">
        <v>10554</v>
      </c>
      <c r="G4481">
        <v>3</v>
      </c>
      <c r="K4481" t="s">
        <v>56</v>
      </c>
      <c r="L4481" t="s">
        <v>10555</v>
      </c>
      <c r="M4481" s="3" t="str">
        <f>HYPERLINK("..\..\Imagery\ScannedPhotos\2007\CG07-191.1.jpg")</f>
        <v>..\..\Imagery\ScannedPhotos\2007\CG07-191.1.jpg</v>
      </c>
    </row>
    <row r="4482" spans="1:13" x14ac:dyDescent="0.25">
      <c r="A4482" t="s">
        <v>10553</v>
      </c>
      <c r="B4482">
        <v>596288</v>
      </c>
      <c r="C4482">
        <v>5792586</v>
      </c>
      <c r="D4482">
        <v>21</v>
      </c>
      <c r="E4482" t="s">
        <v>15</v>
      </c>
      <c r="F4482" t="s">
        <v>10556</v>
      </c>
      <c r="G4482">
        <v>3</v>
      </c>
      <c r="K4482" t="s">
        <v>56</v>
      </c>
      <c r="L4482" t="s">
        <v>10557</v>
      </c>
      <c r="M4482" s="3" t="str">
        <f>HYPERLINK("..\..\Imagery\ScannedPhotos\2007\CG07-191.2.jpg")</f>
        <v>..\..\Imagery\ScannedPhotos\2007\CG07-191.2.jpg</v>
      </c>
    </row>
    <row r="4483" spans="1:13" x14ac:dyDescent="0.25">
      <c r="A4483" t="s">
        <v>10553</v>
      </c>
      <c r="B4483">
        <v>596288</v>
      </c>
      <c r="C4483">
        <v>5792586</v>
      </c>
      <c r="D4483">
        <v>21</v>
      </c>
      <c r="E4483" t="s">
        <v>15</v>
      </c>
      <c r="F4483" t="s">
        <v>10558</v>
      </c>
      <c r="G4483">
        <v>3</v>
      </c>
      <c r="K4483" t="s">
        <v>56</v>
      </c>
      <c r="L4483" t="s">
        <v>10559</v>
      </c>
      <c r="M4483" s="3" t="str">
        <f>HYPERLINK("..\..\Imagery\ScannedPhotos\2007\CG07-191.3.jpg")</f>
        <v>..\..\Imagery\ScannedPhotos\2007\CG07-191.3.jpg</v>
      </c>
    </row>
    <row r="4484" spans="1:13" x14ac:dyDescent="0.25">
      <c r="A4484" t="s">
        <v>10560</v>
      </c>
      <c r="B4484">
        <v>596316</v>
      </c>
      <c r="C4484">
        <v>5792522</v>
      </c>
      <c r="D4484">
        <v>21</v>
      </c>
      <c r="E4484" t="s">
        <v>15</v>
      </c>
      <c r="F4484" t="s">
        <v>10561</v>
      </c>
      <c r="G4484">
        <v>1</v>
      </c>
      <c r="K4484" t="s">
        <v>56</v>
      </c>
      <c r="L4484" t="s">
        <v>10562</v>
      </c>
      <c r="M4484" s="3" t="str">
        <f>HYPERLINK("..\..\Imagery\ScannedPhotos\2007\CG07-193.jpg")</f>
        <v>..\..\Imagery\ScannedPhotos\2007\CG07-193.jpg</v>
      </c>
    </row>
    <row r="4485" spans="1:13" x14ac:dyDescent="0.25">
      <c r="A4485" t="s">
        <v>10563</v>
      </c>
      <c r="B4485">
        <v>490455</v>
      </c>
      <c r="C4485">
        <v>5940743</v>
      </c>
      <c r="D4485">
        <v>21</v>
      </c>
      <c r="E4485" t="s">
        <v>15</v>
      </c>
      <c r="F4485" t="s">
        <v>10564</v>
      </c>
      <c r="G4485">
        <v>1</v>
      </c>
      <c r="H4485" t="s">
        <v>142</v>
      </c>
      <c r="I4485" t="s">
        <v>418</v>
      </c>
      <c r="J4485" t="s">
        <v>144</v>
      </c>
      <c r="K4485" t="s">
        <v>20</v>
      </c>
      <c r="L4485" t="s">
        <v>9094</v>
      </c>
      <c r="M4485" s="3" t="str">
        <f>HYPERLINK("..\..\Imagery\ScannedPhotos\1977\MC77-014.jpg")</f>
        <v>..\..\Imagery\ScannedPhotos\1977\MC77-014.jpg</v>
      </c>
    </row>
    <row r="4486" spans="1:13" x14ac:dyDescent="0.25">
      <c r="A4486" t="s">
        <v>3131</v>
      </c>
      <c r="B4486">
        <v>406812</v>
      </c>
      <c r="C4486">
        <v>6004126</v>
      </c>
      <c r="D4486">
        <v>21</v>
      </c>
      <c r="E4486" t="s">
        <v>15</v>
      </c>
      <c r="F4486" t="s">
        <v>10565</v>
      </c>
      <c r="G4486">
        <v>27</v>
      </c>
      <c r="H4486" t="s">
        <v>6528</v>
      </c>
      <c r="I4486" t="s">
        <v>375</v>
      </c>
      <c r="J4486" t="s">
        <v>6529</v>
      </c>
      <c r="K4486" t="s">
        <v>535</v>
      </c>
      <c r="L4486" t="s">
        <v>10566</v>
      </c>
      <c r="M4486" s="3" t="str">
        <f>HYPERLINK("..\..\Imagery\ScannedPhotos\1980\CG80-102.22.jpg")</f>
        <v>..\..\Imagery\ScannedPhotos\1980\CG80-102.22.jpg</v>
      </c>
    </row>
    <row r="4487" spans="1:13" x14ac:dyDescent="0.25">
      <c r="A4487" t="s">
        <v>10567</v>
      </c>
      <c r="B4487">
        <v>495140</v>
      </c>
      <c r="C4487">
        <v>6036962</v>
      </c>
      <c r="D4487">
        <v>21</v>
      </c>
      <c r="E4487" t="s">
        <v>15</v>
      </c>
      <c r="F4487" t="s">
        <v>10568</v>
      </c>
      <c r="G4487">
        <v>2</v>
      </c>
      <c r="H4487" t="s">
        <v>700</v>
      </c>
      <c r="I4487" t="s">
        <v>401</v>
      </c>
      <c r="J4487" t="s">
        <v>210</v>
      </c>
      <c r="K4487" t="s">
        <v>20</v>
      </c>
      <c r="L4487" t="s">
        <v>10569</v>
      </c>
      <c r="M4487" s="3" t="str">
        <f>HYPERLINK("..\..\Imagery\ScannedPhotos\1979\CG79-337.1.jpg")</f>
        <v>..\..\Imagery\ScannedPhotos\1979\CG79-337.1.jpg</v>
      </c>
    </row>
    <row r="4488" spans="1:13" x14ac:dyDescent="0.25">
      <c r="A4488" t="s">
        <v>10567</v>
      </c>
      <c r="B4488">
        <v>495140</v>
      </c>
      <c r="C4488">
        <v>6036962</v>
      </c>
      <c r="D4488">
        <v>21</v>
      </c>
      <c r="E4488" t="s">
        <v>15</v>
      </c>
      <c r="F4488" t="s">
        <v>10570</v>
      </c>
      <c r="G4488">
        <v>2</v>
      </c>
      <c r="H4488" t="s">
        <v>700</v>
      </c>
      <c r="I4488" t="s">
        <v>409</v>
      </c>
      <c r="J4488" t="s">
        <v>210</v>
      </c>
      <c r="K4488" t="s">
        <v>20</v>
      </c>
      <c r="L4488" t="s">
        <v>10571</v>
      </c>
      <c r="M4488" s="3" t="str">
        <f>HYPERLINK("..\..\Imagery\ScannedPhotos\1979\CG79-337.2.jpg")</f>
        <v>..\..\Imagery\ScannedPhotos\1979\CG79-337.2.jpg</v>
      </c>
    </row>
    <row r="4489" spans="1:13" x14ac:dyDescent="0.25">
      <c r="A4489" t="s">
        <v>10572</v>
      </c>
      <c r="B4489">
        <v>497682</v>
      </c>
      <c r="C4489">
        <v>6036974</v>
      </c>
      <c r="D4489">
        <v>21</v>
      </c>
      <c r="E4489" t="s">
        <v>15</v>
      </c>
      <c r="F4489" t="s">
        <v>10573</v>
      </c>
      <c r="G4489">
        <v>1</v>
      </c>
      <c r="H4489" t="s">
        <v>835</v>
      </c>
      <c r="I4489" t="s">
        <v>79</v>
      </c>
      <c r="J4489" t="s">
        <v>423</v>
      </c>
      <c r="K4489" t="s">
        <v>20</v>
      </c>
      <c r="L4489" t="s">
        <v>10574</v>
      </c>
      <c r="M4489" s="3" t="str">
        <f>HYPERLINK("..\..\Imagery\ScannedPhotos\1979\CG79-339.jpg")</f>
        <v>..\..\Imagery\ScannedPhotos\1979\CG79-339.jpg</v>
      </c>
    </row>
    <row r="4490" spans="1:13" x14ac:dyDescent="0.25">
      <c r="A4490" t="s">
        <v>9410</v>
      </c>
      <c r="B4490">
        <v>498390</v>
      </c>
      <c r="C4490">
        <v>6036659</v>
      </c>
      <c r="D4490">
        <v>21</v>
      </c>
      <c r="E4490" t="s">
        <v>15</v>
      </c>
      <c r="F4490" t="s">
        <v>10575</v>
      </c>
      <c r="G4490">
        <v>5</v>
      </c>
      <c r="H4490" t="s">
        <v>835</v>
      </c>
      <c r="I4490" t="s">
        <v>18</v>
      </c>
      <c r="J4490" t="s">
        <v>423</v>
      </c>
      <c r="K4490" t="s">
        <v>20</v>
      </c>
      <c r="L4490" t="s">
        <v>10576</v>
      </c>
      <c r="M4490" s="3" t="str">
        <f>HYPERLINK("..\..\Imagery\ScannedPhotos\1979\CG79-340.3.jpg")</f>
        <v>..\..\Imagery\ScannedPhotos\1979\CG79-340.3.jpg</v>
      </c>
    </row>
    <row r="4491" spans="1:13" x14ac:dyDescent="0.25">
      <c r="A4491" t="s">
        <v>10577</v>
      </c>
      <c r="B4491">
        <v>564932</v>
      </c>
      <c r="C4491">
        <v>5926177</v>
      </c>
      <c r="D4491">
        <v>21</v>
      </c>
      <c r="E4491" t="s">
        <v>15</v>
      </c>
      <c r="F4491" t="s">
        <v>10578</v>
      </c>
      <c r="G4491">
        <v>2</v>
      </c>
      <c r="H4491" t="s">
        <v>1378</v>
      </c>
      <c r="I4491" t="s">
        <v>647</v>
      </c>
      <c r="J4491" t="s">
        <v>628</v>
      </c>
      <c r="K4491" t="s">
        <v>20</v>
      </c>
      <c r="L4491" t="s">
        <v>10579</v>
      </c>
      <c r="M4491" s="3" t="str">
        <f>HYPERLINK("..\..\Imagery\ScannedPhotos\1985\CG85-652.1.jpg")</f>
        <v>..\..\Imagery\ScannedPhotos\1985\CG85-652.1.jpg</v>
      </c>
    </row>
    <row r="4492" spans="1:13" x14ac:dyDescent="0.25">
      <c r="A4492" t="s">
        <v>10580</v>
      </c>
      <c r="B4492">
        <v>580273</v>
      </c>
      <c r="C4492">
        <v>5900047</v>
      </c>
      <c r="D4492">
        <v>21</v>
      </c>
      <c r="E4492" t="s">
        <v>15</v>
      </c>
      <c r="F4492" t="s">
        <v>10581</v>
      </c>
      <c r="G4492">
        <v>7</v>
      </c>
      <c r="H4492" t="s">
        <v>1378</v>
      </c>
      <c r="I4492" t="s">
        <v>122</v>
      </c>
      <c r="J4492" t="s">
        <v>628</v>
      </c>
      <c r="K4492" t="s">
        <v>20</v>
      </c>
      <c r="L4492" t="s">
        <v>10582</v>
      </c>
      <c r="M4492" s="3" t="str">
        <f>HYPERLINK("..\..\Imagery\ScannedPhotos\1985\CG85-654.1.jpg")</f>
        <v>..\..\Imagery\ScannedPhotos\1985\CG85-654.1.jpg</v>
      </c>
    </row>
    <row r="4493" spans="1:13" x14ac:dyDescent="0.25">
      <c r="A4493" t="s">
        <v>10580</v>
      </c>
      <c r="B4493">
        <v>580273</v>
      </c>
      <c r="C4493">
        <v>5900047</v>
      </c>
      <c r="D4493">
        <v>21</v>
      </c>
      <c r="E4493" t="s">
        <v>15</v>
      </c>
      <c r="F4493" t="s">
        <v>10583</v>
      </c>
      <c r="G4493">
        <v>7</v>
      </c>
      <c r="H4493" t="s">
        <v>1378</v>
      </c>
      <c r="I4493" t="s">
        <v>126</v>
      </c>
      <c r="J4493" t="s">
        <v>628</v>
      </c>
      <c r="K4493" t="s">
        <v>20</v>
      </c>
      <c r="L4493" t="s">
        <v>10584</v>
      </c>
      <c r="M4493" s="3" t="str">
        <f>HYPERLINK("..\..\Imagery\ScannedPhotos\1985\CG85-654.2.jpg")</f>
        <v>..\..\Imagery\ScannedPhotos\1985\CG85-654.2.jpg</v>
      </c>
    </row>
    <row r="4494" spans="1:13" x14ac:dyDescent="0.25">
      <c r="A4494" t="s">
        <v>8264</v>
      </c>
      <c r="B4494">
        <v>527913</v>
      </c>
      <c r="C4494">
        <v>5880687</v>
      </c>
      <c r="D4494">
        <v>21</v>
      </c>
      <c r="E4494" t="s">
        <v>15</v>
      </c>
      <c r="F4494" t="s">
        <v>10585</v>
      </c>
      <c r="G4494">
        <v>3</v>
      </c>
      <c r="H4494" t="s">
        <v>8266</v>
      </c>
      <c r="I4494" t="s">
        <v>294</v>
      </c>
      <c r="J4494" t="s">
        <v>1583</v>
      </c>
      <c r="K4494" t="s">
        <v>20</v>
      </c>
      <c r="L4494" t="s">
        <v>8267</v>
      </c>
      <c r="M4494" s="3" t="str">
        <f>HYPERLINK("..\..\Imagery\ScannedPhotos\1985\LC85-002.1.jpg")</f>
        <v>..\..\Imagery\ScannedPhotos\1985\LC85-002.1.jpg</v>
      </c>
    </row>
    <row r="4495" spans="1:13" x14ac:dyDescent="0.25">
      <c r="A4495" t="s">
        <v>4908</v>
      </c>
      <c r="B4495">
        <v>448199</v>
      </c>
      <c r="C4495">
        <v>5897356</v>
      </c>
      <c r="D4495">
        <v>21</v>
      </c>
      <c r="E4495" t="s">
        <v>15</v>
      </c>
      <c r="F4495" t="s">
        <v>10586</v>
      </c>
      <c r="G4495">
        <v>3</v>
      </c>
      <c r="H4495" t="s">
        <v>632</v>
      </c>
      <c r="I4495" t="s">
        <v>65</v>
      </c>
      <c r="J4495" t="s">
        <v>633</v>
      </c>
      <c r="K4495" t="s">
        <v>20</v>
      </c>
      <c r="L4495" t="s">
        <v>10587</v>
      </c>
      <c r="M4495" s="3" t="str">
        <f>HYPERLINK("..\..\Imagery\ScannedPhotos\1977\MC77-150.3.jpg")</f>
        <v>..\..\Imagery\ScannedPhotos\1977\MC77-150.3.jpg</v>
      </c>
    </row>
    <row r="4496" spans="1:13" x14ac:dyDescent="0.25">
      <c r="A4496" t="s">
        <v>7113</v>
      </c>
      <c r="B4496">
        <v>549788</v>
      </c>
      <c r="C4496">
        <v>5826008</v>
      </c>
      <c r="D4496">
        <v>21</v>
      </c>
      <c r="E4496" t="s">
        <v>15</v>
      </c>
      <c r="F4496" t="s">
        <v>10588</v>
      </c>
      <c r="G4496">
        <v>1</v>
      </c>
      <c r="H4496" t="s">
        <v>24</v>
      </c>
      <c r="I4496" t="s">
        <v>65</v>
      </c>
      <c r="J4496" t="s">
        <v>26</v>
      </c>
      <c r="K4496" t="s">
        <v>56</v>
      </c>
      <c r="L4496" t="s">
        <v>10589</v>
      </c>
      <c r="M4496" s="3" t="str">
        <f>HYPERLINK("..\..\Imagery\ScannedPhotos\1986\CG86-072.1.jpg")</f>
        <v>..\..\Imagery\ScannedPhotos\1986\CG86-072.1.jpg</v>
      </c>
    </row>
    <row r="4497" spans="1:13" x14ac:dyDescent="0.25">
      <c r="A4497" t="s">
        <v>9796</v>
      </c>
      <c r="B4497">
        <v>587579</v>
      </c>
      <c r="C4497">
        <v>5766326</v>
      </c>
      <c r="D4497">
        <v>21</v>
      </c>
      <c r="E4497" t="s">
        <v>15</v>
      </c>
      <c r="F4497" t="s">
        <v>10590</v>
      </c>
      <c r="G4497">
        <v>12</v>
      </c>
      <c r="H4497" t="s">
        <v>34</v>
      </c>
      <c r="I4497" t="s">
        <v>375</v>
      </c>
      <c r="J4497" t="s">
        <v>36</v>
      </c>
      <c r="K4497" t="s">
        <v>56</v>
      </c>
      <c r="L4497" t="s">
        <v>10591</v>
      </c>
      <c r="M4497" s="3" t="str">
        <f>HYPERLINK("..\..\Imagery\ScannedPhotos\1987\CG87-478.9.jpg")</f>
        <v>..\..\Imagery\ScannedPhotos\1987\CG87-478.9.jpg</v>
      </c>
    </row>
    <row r="4498" spans="1:13" x14ac:dyDescent="0.25">
      <c r="A4498" t="s">
        <v>9796</v>
      </c>
      <c r="B4498">
        <v>587579</v>
      </c>
      <c r="C4498">
        <v>5766326</v>
      </c>
      <c r="D4498">
        <v>21</v>
      </c>
      <c r="E4498" t="s">
        <v>15</v>
      </c>
      <c r="F4498" t="s">
        <v>10592</v>
      </c>
      <c r="G4498">
        <v>12</v>
      </c>
      <c r="H4498" t="s">
        <v>34</v>
      </c>
      <c r="I4498" t="s">
        <v>94</v>
      </c>
      <c r="J4498" t="s">
        <v>36</v>
      </c>
      <c r="K4498" t="s">
        <v>228</v>
      </c>
      <c r="L4498" t="s">
        <v>10593</v>
      </c>
      <c r="M4498" s="3" t="str">
        <f>HYPERLINK("..\..\Imagery\ScannedPhotos\1987\CG87-478.10.jpg")</f>
        <v>..\..\Imagery\ScannedPhotos\1987\CG87-478.10.jpg</v>
      </c>
    </row>
    <row r="4499" spans="1:13" x14ac:dyDescent="0.25">
      <c r="A4499" t="s">
        <v>9796</v>
      </c>
      <c r="B4499">
        <v>587579</v>
      </c>
      <c r="C4499">
        <v>5766326</v>
      </c>
      <c r="D4499">
        <v>21</v>
      </c>
      <c r="E4499" t="s">
        <v>15</v>
      </c>
      <c r="F4499" t="s">
        <v>10594</v>
      </c>
      <c r="G4499">
        <v>12</v>
      </c>
      <c r="H4499" t="s">
        <v>2099</v>
      </c>
      <c r="J4499" t="s">
        <v>48</v>
      </c>
      <c r="K4499" t="s">
        <v>56</v>
      </c>
      <c r="L4499" t="s">
        <v>10595</v>
      </c>
      <c r="M4499" s="3" t="str">
        <f>HYPERLINK("..\..\Imagery\ScannedPhotos\1987\CG87-478.1.jpg")</f>
        <v>..\..\Imagery\ScannedPhotos\1987\CG87-478.1.jpg</v>
      </c>
    </row>
    <row r="4500" spans="1:13" x14ac:dyDescent="0.25">
      <c r="A4500" t="s">
        <v>7241</v>
      </c>
      <c r="B4500">
        <v>368799</v>
      </c>
      <c r="C4500">
        <v>6007102</v>
      </c>
      <c r="D4500">
        <v>21</v>
      </c>
      <c r="E4500" t="s">
        <v>15</v>
      </c>
      <c r="F4500" t="s">
        <v>10596</v>
      </c>
      <c r="G4500">
        <v>3</v>
      </c>
      <c r="H4500" t="s">
        <v>226</v>
      </c>
      <c r="I4500" t="s">
        <v>126</v>
      </c>
      <c r="J4500" t="s">
        <v>227</v>
      </c>
      <c r="K4500" t="s">
        <v>935</v>
      </c>
      <c r="L4500" t="s">
        <v>10597</v>
      </c>
      <c r="M4500" s="3" t="str">
        <f>HYPERLINK("..\..\Imagery\ScannedPhotos\1983\CG83-127.2.jpg")</f>
        <v>..\..\Imagery\ScannedPhotos\1983\CG83-127.2.jpg</v>
      </c>
    </row>
    <row r="4501" spans="1:13" x14ac:dyDescent="0.25">
      <c r="A4501" t="s">
        <v>14</v>
      </c>
      <c r="B4501">
        <v>551495</v>
      </c>
      <c r="C4501">
        <v>5821595</v>
      </c>
      <c r="D4501">
        <v>21</v>
      </c>
      <c r="E4501" t="s">
        <v>15</v>
      </c>
      <c r="F4501" t="s">
        <v>10598</v>
      </c>
      <c r="G4501">
        <v>16</v>
      </c>
      <c r="H4501" t="s">
        <v>17</v>
      </c>
      <c r="I4501" t="s">
        <v>294</v>
      </c>
      <c r="J4501" t="s">
        <v>19</v>
      </c>
      <c r="K4501" t="s">
        <v>228</v>
      </c>
      <c r="L4501" t="s">
        <v>10364</v>
      </c>
      <c r="M4501" s="3" t="str">
        <f>HYPERLINK("..\..\Imagery\ScannedPhotos\1986\CG86-018.8.jpg")</f>
        <v>..\..\Imagery\ScannedPhotos\1986\CG86-018.8.jpg</v>
      </c>
    </row>
    <row r="4502" spans="1:13" x14ac:dyDescent="0.25">
      <c r="A4502" t="s">
        <v>6274</v>
      </c>
      <c r="B4502">
        <v>535910</v>
      </c>
      <c r="C4502">
        <v>5733320</v>
      </c>
      <c r="D4502">
        <v>21</v>
      </c>
      <c r="E4502" t="s">
        <v>15</v>
      </c>
      <c r="F4502" t="s">
        <v>10599</v>
      </c>
      <c r="G4502">
        <v>3</v>
      </c>
      <c r="H4502" t="s">
        <v>2355</v>
      </c>
      <c r="I4502" t="s">
        <v>35</v>
      </c>
      <c r="J4502" t="s">
        <v>886</v>
      </c>
      <c r="K4502" t="s">
        <v>56</v>
      </c>
      <c r="L4502" t="s">
        <v>10600</v>
      </c>
      <c r="M4502" s="3" t="str">
        <f>HYPERLINK("..\..\Imagery\ScannedPhotos\1993\VN93-046.3.jpg")</f>
        <v>..\..\Imagery\ScannedPhotos\1993\VN93-046.3.jpg</v>
      </c>
    </row>
    <row r="4503" spans="1:13" x14ac:dyDescent="0.25">
      <c r="A4503" t="s">
        <v>6274</v>
      </c>
      <c r="B4503">
        <v>535910</v>
      </c>
      <c r="C4503">
        <v>5733320</v>
      </c>
      <c r="D4503">
        <v>21</v>
      </c>
      <c r="E4503" t="s">
        <v>15</v>
      </c>
      <c r="F4503" t="s">
        <v>10601</v>
      </c>
      <c r="G4503">
        <v>3</v>
      </c>
      <c r="H4503" t="s">
        <v>2355</v>
      </c>
      <c r="I4503" t="s">
        <v>137</v>
      </c>
      <c r="J4503" t="s">
        <v>886</v>
      </c>
      <c r="K4503" t="s">
        <v>20</v>
      </c>
      <c r="L4503" t="s">
        <v>10602</v>
      </c>
      <c r="M4503" s="3" t="str">
        <f>HYPERLINK("..\..\Imagery\ScannedPhotos\1993\VN93-046.1.jpg")</f>
        <v>..\..\Imagery\ScannedPhotos\1993\VN93-046.1.jpg</v>
      </c>
    </row>
    <row r="4504" spans="1:13" x14ac:dyDescent="0.25">
      <c r="A4504" t="s">
        <v>4804</v>
      </c>
      <c r="B4504">
        <v>535160</v>
      </c>
      <c r="C4504">
        <v>5733190</v>
      </c>
      <c r="D4504">
        <v>21</v>
      </c>
      <c r="E4504" t="s">
        <v>15</v>
      </c>
      <c r="F4504" t="s">
        <v>10603</v>
      </c>
      <c r="G4504">
        <v>8</v>
      </c>
      <c r="H4504" t="s">
        <v>2355</v>
      </c>
      <c r="I4504" t="s">
        <v>74</v>
      </c>
      <c r="J4504" t="s">
        <v>886</v>
      </c>
      <c r="K4504" t="s">
        <v>20</v>
      </c>
      <c r="L4504" t="s">
        <v>10604</v>
      </c>
      <c r="M4504" s="3" t="str">
        <f>HYPERLINK("..\..\Imagery\ScannedPhotos\1993\VN93-048.2.jpg")</f>
        <v>..\..\Imagery\ScannedPhotos\1993\VN93-048.2.jpg</v>
      </c>
    </row>
    <row r="4505" spans="1:13" x14ac:dyDescent="0.25">
      <c r="A4505" t="s">
        <v>10605</v>
      </c>
      <c r="B4505">
        <v>382479</v>
      </c>
      <c r="C4505">
        <v>5895203</v>
      </c>
      <c r="D4505">
        <v>21</v>
      </c>
      <c r="E4505" t="s">
        <v>15</v>
      </c>
      <c r="F4505" t="s">
        <v>10606</v>
      </c>
      <c r="G4505">
        <v>1</v>
      </c>
      <c r="H4505" t="s">
        <v>2312</v>
      </c>
      <c r="I4505" t="s">
        <v>375</v>
      </c>
      <c r="J4505" t="s">
        <v>557</v>
      </c>
      <c r="K4505" t="s">
        <v>56</v>
      </c>
      <c r="L4505" t="s">
        <v>8486</v>
      </c>
      <c r="M4505" s="3" t="str">
        <f>HYPERLINK("..\..\Imagery\ScannedPhotos\1995\VN95-192.jpg")</f>
        <v>..\..\Imagery\ScannedPhotos\1995\VN95-192.jpg</v>
      </c>
    </row>
    <row r="4506" spans="1:13" x14ac:dyDescent="0.25">
      <c r="A4506" t="s">
        <v>10607</v>
      </c>
      <c r="B4506">
        <v>375450</v>
      </c>
      <c r="C4506">
        <v>5893173</v>
      </c>
      <c r="D4506">
        <v>21</v>
      </c>
      <c r="E4506" t="s">
        <v>15</v>
      </c>
      <c r="F4506" t="s">
        <v>10608</v>
      </c>
      <c r="G4506">
        <v>1</v>
      </c>
      <c r="H4506" t="s">
        <v>2312</v>
      </c>
      <c r="I4506" t="s">
        <v>94</v>
      </c>
      <c r="J4506" t="s">
        <v>557</v>
      </c>
      <c r="K4506" t="s">
        <v>56</v>
      </c>
      <c r="L4506" t="s">
        <v>1045</v>
      </c>
      <c r="M4506" s="3" t="str">
        <f>HYPERLINK("..\..\Imagery\ScannedPhotos\1995\VN95-203.jpg")</f>
        <v>..\..\Imagery\ScannedPhotos\1995\VN95-203.jpg</v>
      </c>
    </row>
    <row r="4507" spans="1:13" x14ac:dyDescent="0.25">
      <c r="A4507" t="s">
        <v>8674</v>
      </c>
      <c r="B4507">
        <v>440654</v>
      </c>
      <c r="C4507">
        <v>5774645</v>
      </c>
      <c r="D4507">
        <v>21</v>
      </c>
      <c r="E4507" t="s">
        <v>15</v>
      </c>
      <c r="F4507" t="s">
        <v>10609</v>
      </c>
      <c r="G4507">
        <v>2</v>
      </c>
      <c r="H4507" t="s">
        <v>2563</v>
      </c>
      <c r="I4507" t="s">
        <v>25</v>
      </c>
      <c r="J4507" t="s">
        <v>905</v>
      </c>
      <c r="K4507" t="s">
        <v>20</v>
      </c>
      <c r="L4507" t="s">
        <v>8676</v>
      </c>
      <c r="M4507" s="3" t="str">
        <f>HYPERLINK("..\..\Imagery\ScannedPhotos\1992\JA92-126.2.jpg")</f>
        <v>..\..\Imagery\ScannedPhotos\1992\JA92-126.2.jpg</v>
      </c>
    </row>
    <row r="4508" spans="1:13" x14ac:dyDescent="0.25">
      <c r="A4508" t="s">
        <v>6337</v>
      </c>
      <c r="B4508">
        <v>546771</v>
      </c>
      <c r="C4508">
        <v>5835258</v>
      </c>
      <c r="D4508">
        <v>21</v>
      </c>
      <c r="E4508" t="s">
        <v>15</v>
      </c>
      <c r="F4508" t="s">
        <v>10610</v>
      </c>
      <c r="G4508">
        <v>2</v>
      </c>
      <c r="H4508" t="s">
        <v>4591</v>
      </c>
      <c r="I4508" t="s">
        <v>281</v>
      </c>
      <c r="J4508" t="s">
        <v>1233</v>
      </c>
      <c r="K4508" t="s">
        <v>20</v>
      </c>
      <c r="L4508" t="s">
        <v>10611</v>
      </c>
      <c r="M4508" s="3" t="str">
        <f>HYPERLINK("..\..\Imagery\ScannedPhotos\1986\SN86-247.2.jpg")</f>
        <v>..\..\Imagery\ScannedPhotos\1986\SN86-247.2.jpg</v>
      </c>
    </row>
    <row r="4509" spans="1:13" x14ac:dyDescent="0.25">
      <c r="A4509" t="s">
        <v>10612</v>
      </c>
      <c r="B4509">
        <v>517644</v>
      </c>
      <c r="C4509">
        <v>5835308</v>
      </c>
      <c r="D4509">
        <v>21</v>
      </c>
      <c r="E4509" t="s">
        <v>15</v>
      </c>
      <c r="F4509" t="s">
        <v>10613</v>
      </c>
      <c r="G4509">
        <v>2</v>
      </c>
      <c r="H4509" t="s">
        <v>4591</v>
      </c>
      <c r="I4509" t="s">
        <v>35</v>
      </c>
      <c r="J4509" t="s">
        <v>1233</v>
      </c>
      <c r="K4509" t="s">
        <v>20</v>
      </c>
      <c r="L4509" t="s">
        <v>31</v>
      </c>
      <c r="M4509" s="3" t="str">
        <f>HYPERLINK("..\..\Imagery\ScannedPhotos\1986\SN86-259.1.jpg")</f>
        <v>..\..\Imagery\ScannedPhotos\1986\SN86-259.1.jpg</v>
      </c>
    </row>
    <row r="4510" spans="1:13" x14ac:dyDescent="0.25">
      <c r="A4510" t="s">
        <v>10612</v>
      </c>
      <c r="B4510">
        <v>517644</v>
      </c>
      <c r="C4510">
        <v>5835308</v>
      </c>
      <c r="D4510">
        <v>21</v>
      </c>
      <c r="E4510" t="s">
        <v>15</v>
      </c>
      <c r="F4510" t="s">
        <v>10614</v>
      </c>
      <c r="G4510">
        <v>2</v>
      </c>
      <c r="H4510" t="s">
        <v>4591</v>
      </c>
      <c r="I4510" t="s">
        <v>69</v>
      </c>
      <c r="J4510" t="s">
        <v>1233</v>
      </c>
      <c r="K4510" t="s">
        <v>56</v>
      </c>
      <c r="L4510" t="s">
        <v>31</v>
      </c>
      <c r="M4510" s="3" t="str">
        <f>HYPERLINK("..\..\Imagery\ScannedPhotos\1986\SN86-259.2.jpg")</f>
        <v>..\..\Imagery\ScannedPhotos\1986\SN86-259.2.jpg</v>
      </c>
    </row>
    <row r="4511" spans="1:13" x14ac:dyDescent="0.25">
      <c r="A4511" t="s">
        <v>14</v>
      </c>
      <c r="B4511">
        <v>551495</v>
      </c>
      <c r="C4511">
        <v>5821595</v>
      </c>
      <c r="D4511">
        <v>21</v>
      </c>
      <c r="E4511" t="s">
        <v>15</v>
      </c>
      <c r="F4511" t="s">
        <v>10615</v>
      </c>
      <c r="G4511">
        <v>16</v>
      </c>
      <c r="H4511" t="s">
        <v>1066</v>
      </c>
      <c r="I4511" t="s">
        <v>52</v>
      </c>
      <c r="J4511" t="s">
        <v>36</v>
      </c>
      <c r="K4511" t="s">
        <v>20</v>
      </c>
      <c r="L4511" t="s">
        <v>10616</v>
      </c>
      <c r="M4511" s="3" t="str">
        <f>HYPERLINK("..\..\Imagery\ScannedPhotos\1986\CG86-018.7.jpg")</f>
        <v>..\..\Imagery\ScannedPhotos\1986\CG86-018.7.jpg</v>
      </c>
    </row>
    <row r="4512" spans="1:13" x14ac:dyDescent="0.25">
      <c r="A4512" t="s">
        <v>5463</v>
      </c>
      <c r="B4512">
        <v>448721</v>
      </c>
      <c r="C4512">
        <v>5915301</v>
      </c>
      <c r="D4512">
        <v>21</v>
      </c>
      <c r="E4512" t="s">
        <v>15</v>
      </c>
      <c r="F4512" t="s">
        <v>10617</v>
      </c>
      <c r="G4512">
        <v>4</v>
      </c>
      <c r="H4512" t="s">
        <v>3308</v>
      </c>
      <c r="I4512" t="s">
        <v>69</v>
      </c>
      <c r="J4512" t="s">
        <v>3309</v>
      </c>
      <c r="K4512" t="s">
        <v>20</v>
      </c>
      <c r="L4512" t="s">
        <v>5465</v>
      </c>
      <c r="M4512" s="3" t="str">
        <f>HYPERLINK("..\..\Imagery\ScannedPhotos\1984\NN84-381.4.jpg")</f>
        <v>..\..\Imagery\ScannedPhotos\1984\NN84-381.4.jpg</v>
      </c>
    </row>
    <row r="4513" spans="1:13" x14ac:dyDescent="0.25">
      <c r="A4513" t="s">
        <v>10618</v>
      </c>
      <c r="B4513">
        <v>567428</v>
      </c>
      <c r="C4513">
        <v>5931929</v>
      </c>
      <c r="D4513">
        <v>21</v>
      </c>
      <c r="E4513" t="s">
        <v>15</v>
      </c>
      <c r="F4513" t="s">
        <v>10619</v>
      </c>
      <c r="G4513">
        <v>1</v>
      </c>
      <c r="H4513" t="s">
        <v>1582</v>
      </c>
      <c r="I4513" t="s">
        <v>195</v>
      </c>
      <c r="J4513" t="s">
        <v>1583</v>
      </c>
      <c r="K4513" t="s">
        <v>20</v>
      </c>
      <c r="L4513" t="s">
        <v>10620</v>
      </c>
      <c r="M4513" s="3" t="str">
        <f>HYPERLINK("..\..\Imagery\ScannedPhotos\1985\GM85-663.jpg")</f>
        <v>..\..\Imagery\ScannedPhotos\1985\GM85-663.jpg</v>
      </c>
    </row>
    <row r="4514" spans="1:13" x14ac:dyDescent="0.25">
      <c r="A4514" t="s">
        <v>6913</v>
      </c>
      <c r="B4514">
        <v>579972</v>
      </c>
      <c r="C4514">
        <v>5906440</v>
      </c>
      <c r="D4514">
        <v>21</v>
      </c>
      <c r="E4514" t="s">
        <v>15</v>
      </c>
      <c r="F4514" t="s">
        <v>10621</v>
      </c>
      <c r="G4514">
        <v>2</v>
      </c>
      <c r="H4514" t="s">
        <v>1582</v>
      </c>
      <c r="I4514" t="s">
        <v>360</v>
      </c>
      <c r="J4514" t="s">
        <v>1583</v>
      </c>
      <c r="K4514" t="s">
        <v>20</v>
      </c>
      <c r="L4514" t="s">
        <v>6915</v>
      </c>
      <c r="M4514" s="3" t="str">
        <f>HYPERLINK("..\..\Imagery\ScannedPhotos\1985\GM85-672.2.jpg")</f>
        <v>..\..\Imagery\ScannedPhotos\1985\GM85-672.2.jpg</v>
      </c>
    </row>
    <row r="4515" spans="1:13" x14ac:dyDescent="0.25">
      <c r="A4515" t="s">
        <v>10622</v>
      </c>
      <c r="B4515">
        <v>443860</v>
      </c>
      <c r="C4515">
        <v>5908291</v>
      </c>
      <c r="D4515">
        <v>21</v>
      </c>
      <c r="E4515" t="s">
        <v>15</v>
      </c>
      <c r="F4515" t="s">
        <v>10623</v>
      </c>
      <c r="G4515">
        <v>2</v>
      </c>
      <c r="H4515" t="s">
        <v>155</v>
      </c>
      <c r="I4515" t="s">
        <v>143</v>
      </c>
      <c r="J4515" t="s">
        <v>156</v>
      </c>
      <c r="K4515" t="s">
        <v>20</v>
      </c>
      <c r="L4515" t="s">
        <v>10624</v>
      </c>
      <c r="M4515" s="3" t="str">
        <f>HYPERLINK("..\..\Imagery\ScannedPhotos\1984\NN84-141.1.jpg")</f>
        <v>..\..\Imagery\ScannedPhotos\1984\NN84-141.1.jpg</v>
      </c>
    </row>
    <row r="4516" spans="1:13" x14ac:dyDescent="0.25">
      <c r="A4516" t="s">
        <v>10622</v>
      </c>
      <c r="B4516">
        <v>443860</v>
      </c>
      <c r="C4516">
        <v>5908291</v>
      </c>
      <c r="D4516">
        <v>21</v>
      </c>
      <c r="E4516" t="s">
        <v>15</v>
      </c>
      <c r="F4516" t="s">
        <v>10625</v>
      </c>
      <c r="G4516">
        <v>2</v>
      </c>
      <c r="H4516" t="s">
        <v>155</v>
      </c>
      <c r="I4516" t="s">
        <v>147</v>
      </c>
      <c r="J4516" t="s">
        <v>156</v>
      </c>
      <c r="K4516" t="s">
        <v>20</v>
      </c>
      <c r="L4516" t="s">
        <v>10624</v>
      </c>
      <c r="M4516" s="3" t="str">
        <f>HYPERLINK("..\..\Imagery\ScannedPhotos\1984\NN84-141.2.jpg")</f>
        <v>..\..\Imagery\ScannedPhotos\1984\NN84-141.2.jpg</v>
      </c>
    </row>
    <row r="4517" spans="1:13" x14ac:dyDescent="0.25">
      <c r="A4517" t="s">
        <v>10626</v>
      </c>
      <c r="B4517">
        <v>443165</v>
      </c>
      <c r="C4517">
        <v>5909542</v>
      </c>
      <c r="D4517">
        <v>21</v>
      </c>
      <c r="E4517" t="s">
        <v>15</v>
      </c>
      <c r="F4517" t="s">
        <v>10627</v>
      </c>
      <c r="G4517">
        <v>1</v>
      </c>
      <c r="H4517" t="s">
        <v>155</v>
      </c>
      <c r="I4517" t="s">
        <v>47</v>
      </c>
      <c r="J4517" t="s">
        <v>156</v>
      </c>
      <c r="K4517" t="s">
        <v>20</v>
      </c>
      <c r="L4517" t="s">
        <v>2460</v>
      </c>
      <c r="M4517" s="3" t="str">
        <f>HYPERLINK("..\..\Imagery\ScannedPhotos\1984\NN84-144.jpg")</f>
        <v>..\..\Imagery\ScannedPhotos\1984\NN84-144.jpg</v>
      </c>
    </row>
    <row r="4518" spans="1:13" x14ac:dyDescent="0.25">
      <c r="A4518" t="s">
        <v>10628</v>
      </c>
      <c r="B4518">
        <v>484247</v>
      </c>
      <c r="C4518">
        <v>5813599</v>
      </c>
      <c r="D4518">
        <v>21</v>
      </c>
      <c r="E4518" t="s">
        <v>15</v>
      </c>
      <c r="F4518" t="s">
        <v>10629</v>
      </c>
      <c r="G4518">
        <v>2</v>
      </c>
      <c r="H4518" t="s">
        <v>1095</v>
      </c>
      <c r="I4518" t="s">
        <v>69</v>
      </c>
      <c r="J4518" t="s">
        <v>1096</v>
      </c>
      <c r="K4518" t="s">
        <v>56</v>
      </c>
      <c r="L4518" t="s">
        <v>10630</v>
      </c>
      <c r="M4518" s="3" t="str">
        <f>HYPERLINK("..\..\Imagery\ScannedPhotos\1992\VN92-037.2.jpg")</f>
        <v>..\..\Imagery\ScannedPhotos\1992\VN92-037.2.jpg</v>
      </c>
    </row>
    <row r="4519" spans="1:13" x14ac:dyDescent="0.25">
      <c r="A4519" t="s">
        <v>10631</v>
      </c>
      <c r="B4519">
        <v>450420</v>
      </c>
      <c r="C4519">
        <v>5897747</v>
      </c>
      <c r="D4519">
        <v>21</v>
      </c>
      <c r="E4519" t="s">
        <v>15</v>
      </c>
      <c r="F4519" t="s">
        <v>10632</v>
      </c>
      <c r="G4519">
        <v>4</v>
      </c>
      <c r="H4519" t="s">
        <v>6176</v>
      </c>
      <c r="I4519" t="s">
        <v>65</v>
      </c>
      <c r="J4519" t="s">
        <v>2247</v>
      </c>
      <c r="K4519" t="s">
        <v>20</v>
      </c>
      <c r="L4519" t="s">
        <v>10633</v>
      </c>
      <c r="M4519" s="3" t="str">
        <f>HYPERLINK("..\..\Imagery\ScannedPhotos\1984\NN84-293.4.jpg")</f>
        <v>..\..\Imagery\ScannedPhotos\1984\NN84-293.4.jpg</v>
      </c>
    </row>
    <row r="4520" spans="1:13" x14ac:dyDescent="0.25">
      <c r="A4520" t="s">
        <v>10634</v>
      </c>
      <c r="B4520">
        <v>487681</v>
      </c>
      <c r="C4520">
        <v>5825879</v>
      </c>
      <c r="D4520">
        <v>21</v>
      </c>
      <c r="E4520" t="s">
        <v>15</v>
      </c>
      <c r="F4520" t="s">
        <v>10635</v>
      </c>
      <c r="G4520">
        <v>2</v>
      </c>
      <c r="H4520" t="s">
        <v>2521</v>
      </c>
      <c r="I4520" t="s">
        <v>294</v>
      </c>
      <c r="J4520" t="s">
        <v>2522</v>
      </c>
      <c r="K4520" t="s">
        <v>20</v>
      </c>
      <c r="L4520" t="s">
        <v>10636</v>
      </c>
      <c r="M4520" s="3" t="str">
        <f>HYPERLINK("..\..\Imagery\ScannedPhotos\1991\VN91-370.1.jpg")</f>
        <v>..\..\Imagery\ScannedPhotos\1991\VN91-370.1.jpg</v>
      </c>
    </row>
    <row r="4521" spans="1:13" x14ac:dyDescent="0.25">
      <c r="A4521" t="s">
        <v>10634</v>
      </c>
      <c r="B4521">
        <v>487681</v>
      </c>
      <c r="C4521">
        <v>5825879</v>
      </c>
      <c r="D4521">
        <v>21</v>
      </c>
      <c r="E4521" t="s">
        <v>15</v>
      </c>
      <c r="F4521" t="s">
        <v>10637</v>
      </c>
      <c r="G4521">
        <v>2</v>
      </c>
      <c r="H4521" t="s">
        <v>2521</v>
      </c>
      <c r="I4521" t="s">
        <v>79</v>
      </c>
      <c r="J4521" t="s">
        <v>2522</v>
      </c>
      <c r="K4521" t="s">
        <v>20</v>
      </c>
      <c r="L4521" t="s">
        <v>10638</v>
      </c>
      <c r="M4521" s="3" t="str">
        <f>HYPERLINK("..\..\Imagery\ScannedPhotos\1991\VN91-370.2.jpg")</f>
        <v>..\..\Imagery\ScannedPhotos\1991\VN91-370.2.jpg</v>
      </c>
    </row>
    <row r="4522" spans="1:13" x14ac:dyDescent="0.25">
      <c r="A4522" t="s">
        <v>10639</v>
      </c>
      <c r="B4522">
        <v>486932</v>
      </c>
      <c r="C4522">
        <v>5825104</v>
      </c>
      <c r="D4522">
        <v>21</v>
      </c>
      <c r="E4522" t="s">
        <v>15</v>
      </c>
      <c r="F4522" t="s">
        <v>10640</v>
      </c>
      <c r="G4522">
        <v>5</v>
      </c>
      <c r="H4522" t="s">
        <v>2521</v>
      </c>
      <c r="I4522" t="s">
        <v>35</v>
      </c>
      <c r="J4522" t="s">
        <v>2522</v>
      </c>
      <c r="K4522" t="s">
        <v>20</v>
      </c>
      <c r="L4522" t="s">
        <v>10641</v>
      </c>
      <c r="M4522" s="3" t="str">
        <f>HYPERLINK("..\..\Imagery\ScannedPhotos\1991\VN91-372.4.jpg")</f>
        <v>..\..\Imagery\ScannedPhotos\1991\VN91-372.4.jpg</v>
      </c>
    </row>
    <row r="4523" spans="1:13" x14ac:dyDescent="0.25">
      <c r="A4523" t="s">
        <v>9877</v>
      </c>
      <c r="B4523">
        <v>567640</v>
      </c>
      <c r="C4523">
        <v>5946751</v>
      </c>
      <c r="D4523">
        <v>21</v>
      </c>
      <c r="E4523" t="s">
        <v>15</v>
      </c>
      <c r="F4523" t="s">
        <v>10642</v>
      </c>
      <c r="G4523">
        <v>4</v>
      </c>
      <c r="H4523" t="s">
        <v>1373</v>
      </c>
      <c r="I4523" t="s">
        <v>143</v>
      </c>
      <c r="J4523" t="s">
        <v>1374</v>
      </c>
      <c r="K4523" t="s">
        <v>20</v>
      </c>
      <c r="L4523" t="s">
        <v>10643</v>
      </c>
      <c r="M4523" s="3" t="str">
        <f>HYPERLINK("..\..\Imagery\ScannedPhotos\1985\CG85-541.2.jpg")</f>
        <v>..\..\Imagery\ScannedPhotos\1985\CG85-541.2.jpg</v>
      </c>
    </row>
    <row r="4524" spans="1:13" x14ac:dyDescent="0.25">
      <c r="A4524" t="s">
        <v>32</v>
      </c>
      <c r="B4524">
        <v>596446</v>
      </c>
      <c r="C4524">
        <v>5792950</v>
      </c>
      <c r="D4524">
        <v>21</v>
      </c>
      <c r="E4524" t="s">
        <v>15</v>
      </c>
      <c r="F4524" t="s">
        <v>10644</v>
      </c>
      <c r="G4524">
        <v>40</v>
      </c>
      <c r="H4524" t="s">
        <v>1650</v>
      </c>
      <c r="I4524" t="s">
        <v>143</v>
      </c>
      <c r="J4524" t="s">
        <v>1651</v>
      </c>
      <c r="K4524" t="s">
        <v>20</v>
      </c>
      <c r="L4524" t="s">
        <v>10645</v>
      </c>
      <c r="M4524" s="3" t="str">
        <f>HYPERLINK("..\..\Imagery\ScannedPhotos\1987\CG87-488.6.jpg")</f>
        <v>..\..\Imagery\ScannedPhotos\1987\CG87-488.6.jpg</v>
      </c>
    </row>
    <row r="4525" spans="1:13" x14ac:dyDescent="0.25">
      <c r="A4525" t="s">
        <v>32</v>
      </c>
      <c r="B4525">
        <v>596446</v>
      </c>
      <c r="C4525">
        <v>5792950</v>
      </c>
      <c r="D4525">
        <v>21</v>
      </c>
      <c r="E4525" t="s">
        <v>15</v>
      </c>
      <c r="F4525" t="s">
        <v>10646</v>
      </c>
      <c r="G4525">
        <v>40</v>
      </c>
      <c r="H4525" t="s">
        <v>1650</v>
      </c>
      <c r="I4525" t="s">
        <v>126</v>
      </c>
      <c r="J4525" t="s">
        <v>1651</v>
      </c>
      <c r="K4525" t="s">
        <v>20</v>
      </c>
      <c r="L4525" t="s">
        <v>2675</v>
      </c>
      <c r="M4525" s="3" t="str">
        <f>HYPERLINK("..\..\Imagery\ScannedPhotos\1987\CG87-488.2.jpg")</f>
        <v>..\..\Imagery\ScannedPhotos\1987\CG87-488.2.jpg</v>
      </c>
    </row>
    <row r="4526" spans="1:13" x14ac:dyDescent="0.25">
      <c r="A4526" t="s">
        <v>10647</v>
      </c>
      <c r="B4526">
        <v>545408</v>
      </c>
      <c r="C4526">
        <v>5755385</v>
      </c>
      <c r="D4526">
        <v>21</v>
      </c>
      <c r="E4526" t="s">
        <v>15</v>
      </c>
      <c r="F4526" t="s">
        <v>10648</v>
      </c>
      <c r="G4526">
        <v>2</v>
      </c>
      <c r="K4526" t="s">
        <v>56</v>
      </c>
      <c r="L4526" t="s">
        <v>10649</v>
      </c>
      <c r="M4526" s="3" t="str">
        <f>HYPERLINK("..\..\Imagery\ScannedPhotos\2003\CG03-052.2.jpg")</f>
        <v>..\..\Imagery\ScannedPhotos\2003\CG03-052.2.jpg</v>
      </c>
    </row>
    <row r="4527" spans="1:13" x14ac:dyDescent="0.25">
      <c r="A4527" t="s">
        <v>10650</v>
      </c>
      <c r="B4527">
        <v>545442</v>
      </c>
      <c r="C4527">
        <v>5756346</v>
      </c>
      <c r="D4527">
        <v>21</v>
      </c>
      <c r="E4527" t="s">
        <v>15</v>
      </c>
      <c r="F4527" t="s">
        <v>10651</v>
      </c>
      <c r="G4527">
        <v>1</v>
      </c>
      <c r="K4527" t="s">
        <v>20</v>
      </c>
      <c r="L4527" t="s">
        <v>10652</v>
      </c>
      <c r="M4527" s="3" t="str">
        <f>HYPERLINK("..\..\Imagery\ScannedPhotos\2003\CG03-056.jpg")</f>
        <v>..\..\Imagery\ScannedPhotos\2003\CG03-056.jpg</v>
      </c>
    </row>
    <row r="4528" spans="1:13" x14ac:dyDescent="0.25">
      <c r="A4528" t="s">
        <v>10653</v>
      </c>
      <c r="B4528">
        <v>545594</v>
      </c>
      <c r="C4528">
        <v>5757029</v>
      </c>
      <c r="D4528">
        <v>21</v>
      </c>
      <c r="E4528" t="s">
        <v>15</v>
      </c>
      <c r="F4528" t="s">
        <v>10654</v>
      </c>
      <c r="G4528">
        <v>1</v>
      </c>
      <c r="K4528" t="s">
        <v>56</v>
      </c>
      <c r="L4528" t="s">
        <v>10655</v>
      </c>
      <c r="M4528" s="3" t="str">
        <f>HYPERLINK("..\..\Imagery\ScannedPhotos\2003\CG03-059.jpg")</f>
        <v>..\..\Imagery\ScannedPhotos\2003\CG03-059.jpg</v>
      </c>
    </row>
    <row r="4529" spans="1:13" x14ac:dyDescent="0.25">
      <c r="A4529" t="s">
        <v>10656</v>
      </c>
      <c r="B4529">
        <v>546347</v>
      </c>
      <c r="C4529">
        <v>5757485</v>
      </c>
      <c r="D4529">
        <v>21</v>
      </c>
      <c r="E4529" t="s">
        <v>15</v>
      </c>
      <c r="F4529" t="s">
        <v>10657</v>
      </c>
      <c r="G4529">
        <v>3</v>
      </c>
      <c r="K4529" t="s">
        <v>56</v>
      </c>
      <c r="L4529" t="s">
        <v>10658</v>
      </c>
      <c r="M4529" s="3" t="str">
        <f>HYPERLINK("..\..\Imagery\ScannedPhotos\2003\CG03-060.1.jpg")</f>
        <v>..\..\Imagery\ScannedPhotos\2003\CG03-060.1.jpg</v>
      </c>
    </row>
    <row r="4530" spans="1:13" x14ac:dyDescent="0.25">
      <c r="A4530" t="s">
        <v>6360</v>
      </c>
      <c r="B4530">
        <v>451009</v>
      </c>
      <c r="C4530">
        <v>5773044</v>
      </c>
      <c r="D4530">
        <v>21</v>
      </c>
      <c r="E4530" t="s">
        <v>15</v>
      </c>
      <c r="F4530" t="s">
        <v>10659</v>
      </c>
      <c r="G4530">
        <v>9</v>
      </c>
      <c r="H4530" t="s">
        <v>4076</v>
      </c>
      <c r="I4530" t="s">
        <v>41</v>
      </c>
      <c r="J4530" t="s">
        <v>905</v>
      </c>
      <c r="K4530" t="s">
        <v>20</v>
      </c>
      <c r="L4530" t="s">
        <v>10660</v>
      </c>
      <c r="M4530" s="3" t="str">
        <f>HYPERLINK("..\..\Imagery\ScannedPhotos\1992\VN92-161.4.jpg")</f>
        <v>..\..\Imagery\ScannedPhotos\1992\VN92-161.4.jpg</v>
      </c>
    </row>
    <row r="4531" spans="1:13" x14ac:dyDescent="0.25">
      <c r="A4531" t="s">
        <v>10661</v>
      </c>
      <c r="B4531">
        <v>449775</v>
      </c>
      <c r="C4531">
        <v>5773425</v>
      </c>
      <c r="D4531">
        <v>21</v>
      </c>
      <c r="E4531" t="s">
        <v>15</v>
      </c>
      <c r="F4531" t="s">
        <v>10662</v>
      </c>
      <c r="G4531">
        <v>1</v>
      </c>
      <c r="H4531" t="s">
        <v>2563</v>
      </c>
      <c r="I4531" t="s">
        <v>647</v>
      </c>
      <c r="J4531" t="s">
        <v>905</v>
      </c>
      <c r="K4531" t="s">
        <v>535</v>
      </c>
      <c r="L4531" t="s">
        <v>10663</v>
      </c>
      <c r="M4531" s="3" t="str">
        <f>HYPERLINK("..\..\Imagery\ScannedPhotos\1992\VN92-164.2.jpg")</f>
        <v>..\..\Imagery\ScannedPhotos\1992\VN92-164.2.jpg</v>
      </c>
    </row>
    <row r="4532" spans="1:13" x14ac:dyDescent="0.25">
      <c r="A4532" t="s">
        <v>10661</v>
      </c>
      <c r="B4532">
        <v>449775</v>
      </c>
      <c r="C4532">
        <v>5773425</v>
      </c>
      <c r="D4532">
        <v>21</v>
      </c>
      <c r="E4532" t="s">
        <v>15</v>
      </c>
      <c r="F4532" t="s">
        <v>10664</v>
      </c>
      <c r="G4532">
        <v>1</v>
      </c>
      <c r="H4532" t="s">
        <v>2563</v>
      </c>
      <c r="I4532" t="s">
        <v>360</v>
      </c>
      <c r="J4532" t="s">
        <v>905</v>
      </c>
      <c r="K4532" t="s">
        <v>535</v>
      </c>
      <c r="L4532" t="s">
        <v>10663</v>
      </c>
      <c r="M4532" s="3" t="str">
        <f>HYPERLINK("..\..\Imagery\ScannedPhotos\1992\VN92-164.1.jpg")</f>
        <v>..\..\Imagery\ScannedPhotos\1992\VN92-164.1.jpg</v>
      </c>
    </row>
    <row r="4533" spans="1:13" x14ac:dyDescent="0.25">
      <c r="A4533" t="s">
        <v>10665</v>
      </c>
      <c r="B4533">
        <v>558927</v>
      </c>
      <c r="C4533">
        <v>5776181</v>
      </c>
      <c r="D4533">
        <v>21</v>
      </c>
      <c r="E4533" t="s">
        <v>15</v>
      </c>
      <c r="F4533" t="s">
        <v>10666</v>
      </c>
      <c r="G4533">
        <v>1</v>
      </c>
      <c r="K4533" t="s">
        <v>56</v>
      </c>
      <c r="L4533" t="s">
        <v>10667</v>
      </c>
      <c r="M4533" s="3" t="str">
        <f>HYPERLINK("..\..\Imagery\ScannedPhotos\2003\CG03-092.jpg")</f>
        <v>..\..\Imagery\ScannedPhotos\2003\CG03-092.jpg</v>
      </c>
    </row>
    <row r="4534" spans="1:13" x14ac:dyDescent="0.25">
      <c r="A4534" t="s">
        <v>3397</v>
      </c>
      <c r="B4534">
        <v>560130</v>
      </c>
      <c r="C4534">
        <v>5778510</v>
      </c>
      <c r="D4534">
        <v>21</v>
      </c>
      <c r="E4534" t="s">
        <v>15</v>
      </c>
      <c r="F4534" t="s">
        <v>10668</v>
      </c>
      <c r="G4534">
        <v>2</v>
      </c>
      <c r="K4534" t="s">
        <v>56</v>
      </c>
      <c r="L4534" t="s">
        <v>10669</v>
      </c>
      <c r="M4534" s="3" t="str">
        <f>HYPERLINK("..\..\Imagery\ScannedPhotos\2003\CG03-097.1.jpg")</f>
        <v>..\..\Imagery\ScannedPhotos\2003\CG03-097.1.jpg</v>
      </c>
    </row>
    <row r="4535" spans="1:13" x14ac:dyDescent="0.25">
      <c r="A4535" t="s">
        <v>10670</v>
      </c>
      <c r="B4535">
        <v>432561</v>
      </c>
      <c r="C4535">
        <v>6009760</v>
      </c>
      <c r="D4535">
        <v>21</v>
      </c>
      <c r="E4535" t="s">
        <v>15</v>
      </c>
      <c r="F4535" t="s">
        <v>10671</v>
      </c>
      <c r="G4535">
        <v>2</v>
      </c>
      <c r="H4535" t="s">
        <v>1006</v>
      </c>
      <c r="I4535" t="s">
        <v>25</v>
      </c>
      <c r="J4535" t="s">
        <v>652</v>
      </c>
      <c r="K4535" t="s">
        <v>20</v>
      </c>
      <c r="L4535" t="s">
        <v>10672</v>
      </c>
      <c r="M4535" s="3" t="str">
        <f>HYPERLINK("..\..\Imagery\ScannedPhotos\1980\CG80-062.1.jpg")</f>
        <v>..\..\Imagery\ScannedPhotos\1980\CG80-062.1.jpg</v>
      </c>
    </row>
    <row r="4536" spans="1:13" x14ac:dyDescent="0.25">
      <c r="A4536" t="s">
        <v>10670</v>
      </c>
      <c r="B4536">
        <v>432561</v>
      </c>
      <c r="C4536">
        <v>6009760</v>
      </c>
      <c r="D4536">
        <v>21</v>
      </c>
      <c r="E4536" t="s">
        <v>15</v>
      </c>
      <c r="F4536" t="s">
        <v>10673</v>
      </c>
      <c r="G4536">
        <v>2</v>
      </c>
      <c r="H4536" t="s">
        <v>1006</v>
      </c>
      <c r="I4536" t="s">
        <v>360</v>
      </c>
      <c r="J4536" t="s">
        <v>652</v>
      </c>
      <c r="K4536" t="s">
        <v>20</v>
      </c>
      <c r="L4536" t="s">
        <v>10674</v>
      </c>
      <c r="M4536" s="3" t="str">
        <f>HYPERLINK("..\..\Imagery\ScannedPhotos\1980\CG80-062.2.jpg")</f>
        <v>..\..\Imagery\ScannedPhotos\1980\CG80-062.2.jpg</v>
      </c>
    </row>
    <row r="4537" spans="1:13" x14ac:dyDescent="0.25">
      <c r="A4537" t="s">
        <v>10675</v>
      </c>
      <c r="B4537">
        <v>433890</v>
      </c>
      <c r="C4537">
        <v>6009213</v>
      </c>
      <c r="D4537">
        <v>21</v>
      </c>
      <c r="E4537" t="s">
        <v>15</v>
      </c>
      <c r="F4537" t="s">
        <v>10676</v>
      </c>
      <c r="G4537">
        <v>1</v>
      </c>
      <c r="H4537" t="s">
        <v>1006</v>
      </c>
      <c r="I4537" t="s">
        <v>647</v>
      </c>
      <c r="J4537" t="s">
        <v>652</v>
      </c>
      <c r="K4537" t="s">
        <v>20</v>
      </c>
      <c r="L4537" t="s">
        <v>3345</v>
      </c>
      <c r="M4537" s="3" t="str">
        <f>HYPERLINK("..\..\Imagery\ScannedPhotos\1980\CG80-067.jpg")</f>
        <v>..\..\Imagery\ScannedPhotos\1980\CG80-067.jpg</v>
      </c>
    </row>
    <row r="4538" spans="1:13" x14ac:dyDescent="0.25">
      <c r="A4538" t="s">
        <v>10677</v>
      </c>
      <c r="B4538">
        <v>434494</v>
      </c>
      <c r="C4538">
        <v>6009300</v>
      </c>
      <c r="D4538">
        <v>21</v>
      </c>
      <c r="E4538" t="s">
        <v>15</v>
      </c>
      <c r="F4538" t="s">
        <v>10678</v>
      </c>
      <c r="G4538">
        <v>1</v>
      </c>
      <c r="H4538" t="s">
        <v>1006</v>
      </c>
      <c r="I4538" t="s">
        <v>30</v>
      </c>
      <c r="J4538" t="s">
        <v>652</v>
      </c>
      <c r="K4538" t="s">
        <v>20</v>
      </c>
      <c r="L4538" t="s">
        <v>10679</v>
      </c>
      <c r="M4538" s="3" t="str">
        <f>HYPERLINK("..\..\Imagery\ScannedPhotos\1980\CG80-069.jpg")</f>
        <v>..\..\Imagery\ScannedPhotos\1980\CG80-069.jpg</v>
      </c>
    </row>
    <row r="4539" spans="1:13" x14ac:dyDescent="0.25">
      <c r="A4539" t="s">
        <v>10680</v>
      </c>
      <c r="B4539">
        <v>434793</v>
      </c>
      <c r="C4539">
        <v>6009370</v>
      </c>
      <c r="D4539">
        <v>21</v>
      </c>
      <c r="E4539" t="s">
        <v>15</v>
      </c>
      <c r="F4539" t="s">
        <v>10681</v>
      </c>
      <c r="G4539">
        <v>1</v>
      </c>
      <c r="H4539" t="s">
        <v>1006</v>
      </c>
      <c r="I4539" t="s">
        <v>114</v>
      </c>
      <c r="J4539" t="s">
        <v>652</v>
      </c>
      <c r="K4539" t="s">
        <v>20</v>
      </c>
      <c r="L4539" t="s">
        <v>71</v>
      </c>
      <c r="M4539" s="3" t="str">
        <f>HYPERLINK("..\..\Imagery\ScannedPhotos\1980\CG80-071.jpg")</f>
        <v>..\..\Imagery\ScannedPhotos\1980\CG80-071.jpg</v>
      </c>
    </row>
    <row r="4540" spans="1:13" x14ac:dyDescent="0.25">
      <c r="A4540" t="s">
        <v>10682</v>
      </c>
      <c r="B4540">
        <v>587489</v>
      </c>
      <c r="C4540">
        <v>5770384</v>
      </c>
      <c r="D4540">
        <v>21</v>
      </c>
      <c r="E4540" t="s">
        <v>15</v>
      </c>
      <c r="F4540" t="s">
        <v>10683</v>
      </c>
      <c r="G4540">
        <v>9</v>
      </c>
      <c r="H4540" t="s">
        <v>1513</v>
      </c>
      <c r="I4540" t="s">
        <v>74</v>
      </c>
      <c r="J4540" t="s">
        <v>1514</v>
      </c>
      <c r="K4540" t="s">
        <v>20</v>
      </c>
      <c r="L4540" t="s">
        <v>10684</v>
      </c>
      <c r="M4540" s="3" t="str">
        <f>HYPERLINK("..\..\Imagery\ScannedPhotos\1992\VO92-024.9.jpg")</f>
        <v>..\..\Imagery\ScannedPhotos\1992\VO92-024.9.jpg</v>
      </c>
    </row>
    <row r="4541" spans="1:13" x14ac:dyDescent="0.25">
      <c r="A4541" t="s">
        <v>10685</v>
      </c>
      <c r="B4541">
        <v>573209</v>
      </c>
      <c r="C4541">
        <v>5753931</v>
      </c>
      <c r="D4541">
        <v>21</v>
      </c>
      <c r="E4541" t="s">
        <v>15</v>
      </c>
      <c r="F4541" t="s">
        <v>10686</v>
      </c>
      <c r="G4541">
        <v>5</v>
      </c>
      <c r="H4541" t="s">
        <v>869</v>
      </c>
      <c r="I4541" t="s">
        <v>222</v>
      </c>
      <c r="J4541" t="s">
        <v>870</v>
      </c>
      <c r="K4541" t="s">
        <v>56</v>
      </c>
      <c r="L4541" t="s">
        <v>10687</v>
      </c>
      <c r="M4541" s="3" t="str">
        <f>HYPERLINK("..\..\Imagery\ScannedPhotos\1993\VN93-652.1.jpg")</f>
        <v>..\..\Imagery\ScannedPhotos\1993\VN93-652.1.jpg</v>
      </c>
    </row>
    <row r="4542" spans="1:13" x14ac:dyDescent="0.25">
      <c r="A4542" t="s">
        <v>10685</v>
      </c>
      <c r="B4542">
        <v>573209</v>
      </c>
      <c r="C4542">
        <v>5753931</v>
      </c>
      <c r="D4542">
        <v>21</v>
      </c>
      <c r="E4542" t="s">
        <v>15</v>
      </c>
      <c r="F4542" t="s">
        <v>10688</v>
      </c>
      <c r="G4542">
        <v>5</v>
      </c>
      <c r="H4542" t="s">
        <v>869</v>
      </c>
      <c r="I4542" t="s">
        <v>418</v>
      </c>
      <c r="J4542" t="s">
        <v>870</v>
      </c>
      <c r="K4542" t="s">
        <v>20</v>
      </c>
      <c r="L4542" t="s">
        <v>10689</v>
      </c>
      <c r="M4542" s="3" t="str">
        <f>HYPERLINK("..\..\Imagery\ScannedPhotos\1993\VN93-652.2.jpg")</f>
        <v>..\..\Imagery\ScannedPhotos\1993\VN93-652.2.jpg</v>
      </c>
    </row>
    <row r="4543" spans="1:13" x14ac:dyDescent="0.25">
      <c r="A4543" t="s">
        <v>10685</v>
      </c>
      <c r="B4543">
        <v>573209</v>
      </c>
      <c r="C4543">
        <v>5753931</v>
      </c>
      <c r="D4543">
        <v>21</v>
      </c>
      <c r="E4543" t="s">
        <v>15</v>
      </c>
      <c r="F4543" t="s">
        <v>10690</v>
      </c>
      <c r="G4543">
        <v>5</v>
      </c>
      <c r="H4543" t="s">
        <v>869</v>
      </c>
      <c r="I4543" t="s">
        <v>195</v>
      </c>
      <c r="J4543" t="s">
        <v>870</v>
      </c>
      <c r="K4543" t="s">
        <v>20</v>
      </c>
      <c r="L4543" t="s">
        <v>2607</v>
      </c>
      <c r="M4543" s="3" t="str">
        <f>HYPERLINK("..\..\Imagery\ScannedPhotos\1993\VN93-652.4.jpg")</f>
        <v>..\..\Imagery\ScannedPhotos\1993\VN93-652.4.jpg</v>
      </c>
    </row>
    <row r="4544" spans="1:13" x14ac:dyDescent="0.25">
      <c r="A4544" t="s">
        <v>10685</v>
      </c>
      <c r="B4544">
        <v>573209</v>
      </c>
      <c r="C4544">
        <v>5753931</v>
      </c>
      <c r="D4544">
        <v>21</v>
      </c>
      <c r="E4544" t="s">
        <v>15</v>
      </c>
      <c r="F4544" t="s">
        <v>10691</v>
      </c>
      <c r="G4544">
        <v>5</v>
      </c>
      <c r="H4544" t="s">
        <v>869</v>
      </c>
      <c r="I4544" t="s">
        <v>25</v>
      </c>
      <c r="J4544" t="s">
        <v>870</v>
      </c>
      <c r="K4544" t="s">
        <v>20</v>
      </c>
      <c r="L4544" t="s">
        <v>2607</v>
      </c>
      <c r="M4544" s="3" t="str">
        <f>HYPERLINK("..\..\Imagery\ScannedPhotos\1993\VN93-652.5.jpg")</f>
        <v>..\..\Imagery\ScannedPhotos\1993\VN93-652.5.jpg</v>
      </c>
    </row>
    <row r="4545" spans="1:13" x14ac:dyDescent="0.25">
      <c r="A4545" t="s">
        <v>10685</v>
      </c>
      <c r="B4545">
        <v>573209</v>
      </c>
      <c r="C4545">
        <v>5753931</v>
      </c>
      <c r="D4545">
        <v>21</v>
      </c>
      <c r="E4545" t="s">
        <v>15</v>
      </c>
      <c r="F4545" t="s">
        <v>10692</v>
      </c>
      <c r="G4545">
        <v>5</v>
      </c>
      <c r="H4545" t="s">
        <v>869</v>
      </c>
      <c r="I4545" t="s">
        <v>304</v>
      </c>
      <c r="J4545" t="s">
        <v>870</v>
      </c>
      <c r="K4545" t="s">
        <v>20</v>
      </c>
      <c r="L4545" t="s">
        <v>10687</v>
      </c>
      <c r="M4545" s="3" t="str">
        <f>HYPERLINK("..\..\Imagery\ScannedPhotos\1993\VN93-652.3.jpg")</f>
        <v>..\..\Imagery\ScannedPhotos\1993\VN93-652.3.jpg</v>
      </c>
    </row>
    <row r="4546" spans="1:13" x14ac:dyDescent="0.25">
      <c r="A4546" t="s">
        <v>10693</v>
      </c>
      <c r="B4546">
        <v>573476</v>
      </c>
      <c r="C4546">
        <v>5754114</v>
      </c>
      <c r="D4546">
        <v>21</v>
      </c>
      <c r="E4546" t="s">
        <v>15</v>
      </c>
      <c r="F4546" t="s">
        <v>10694</v>
      </c>
      <c r="G4546">
        <v>1</v>
      </c>
      <c r="H4546" t="s">
        <v>869</v>
      </c>
      <c r="I4546" t="s">
        <v>360</v>
      </c>
      <c r="J4546" t="s">
        <v>870</v>
      </c>
      <c r="K4546" t="s">
        <v>20</v>
      </c>
      <c r="L4546" t="s">
        <v>10695</v>
      </c>
      <c r="M4546" s="3" t="str">
        <f>HYPERLINK("..\..\Imagery\ScannedPhotos\1993\VN93-653.jpg")</f>
        <v>..\..\Imagery\ScannedPhotos\1993\VN93-653.jpg</v>
      </c>
    </row>
    <row r="4547" spans="1:13" x14ac:dyDescent="0.25">
      <c r="A4547" t="s">
        <v>10696</v>
      </c>
      <c r="B4547">
        <v>573803</v>
      </c>
      <c r="C4547">
        <v>5754672</v>
      </c>
      <c r="D4547">
        <v>21</v>
      </c>
      <c r="E4547" t="s">
        <v>15</v>
      </c>
      <c r="F4547" t="s">
        <v>10697</v>
      </c>
      <c r="G4547">
        <v>2</v>
      </c>
      <c r="H4547" t="s">
        <v>869</v>
      </c>
      <c r="I4547" t="s">
        <v>30</v>
      </c>
      <c r="J4547" t="s">
        <v>870</v>
      </c>
      <c r="K4547" t="s">
        <v>20</v>
      </c>
      <c r="L4547" t="s">
        <v>322</v>
      </c>
      <c r="M4547" s="3" t="str">
        <f>HYPERLINK("..\..\Imagery\ScannedPhotos\1993\VN93-655.2.jpg")</f>
        <v>..\..\Imagery\ScannedPhotos\1993\VN93-655.2.jpg</v>
      </c>
    </row>
    <row r="4548" spans="1:13" x14ac:dyDescent="0.25">
      <c r="A4548" t="s">
        <v>10696</v>
      </c>
      <c r="B4548">
        <v>573803</v>
      </c>
      <c r="C4548">
        <v>5754672</v>
      </c>
      <c r="D4548">
        <v>21</v>
      </c>
      <c r="E4548" t="s">
        <v>15</v>
      </c>
      <c r="F4548" t="s">
        <v>10698</v>
      </c>
      <c r="G4548">
        <v>2</v>
      </c>
      <c r="H4548" t="s">
        <v>869</v>
      </c>
      <c r="I4548" t="s">
        <v>647</v>
      </c>
      <c r="J4548" t="s">
        <v>870</v>
      </c>
      <c r="K4548" t="s">
        <v>20</v>
      </c>
      <c r="L4548" t="s">
        <v>10699</v>
      </c>
      <c r="M4548" s="3" t="str">
        <f>HYPERLINK("..\..\Imagery\ScannedPhotos\1993\VN93-655.1.jpg")</f>
        <v>..\..\Imagery\ScannedPhotos\1993\VN93-655.1.jpg</v>
      </c>
    </row>
    <row r="4549" spans="1:13" x14ac:dyDescent="0.25">
      <c r="A4549" t="s">
        <v>10700</v>
      </c>
      <c r="B4549">
        <v>574247</v>
      </c>
      <c r="C4549">
        <v>5755135</v>
      </c>
      <c r="D4549">
        <v>21</v>
      </c>
      <c r="E4549" t="s">
        <v>15</v>
      </c>
      <c r="F4549" t="s">
        <v>10701</v>
      </c>
      <c r="G4549">
        <v>2</v>
      </c>
      <c r="H4549" t="s">
        <v>869</v>
      </c>
      <c r="I4549" t="s">
        <v>119</v>
      </c>
      <c r="J4549" t="s">
        <v>870</v>
      </c>
      <c r="K4549" t="s">
        <v>20</v>
      </c>
      <c r="L4549" t="s">
        <v>10702</v>
      </c>
      <c r="M4549" s="3" t="str">
        <f>HYPERLINK("..\..\Imagery\ScannedPhotos\1993\VN93-656.2.jpg")</f>
        <v>..\..\Imagery\ScannedPhotos\1993\VN93-656.2.jpg</v>
      </c>
    </row>
    <row r="4550" spans="1:13" x14ac:dyDescent="0.25">
      <c r="A4550" t="s">
        <v>7241</v>
      </c>
      <c r="B4550">
        <v>368799</v>
      </c>
      <c r="C4550">
        <v>6007102</v>
      </c>
      <c r="D4550">
        <v>21</v>
      </c>
      <c r="E4550" t="s">
        <v>15</v>
      </c>
      <c r="F4550" t="s">
        <v>10703</v>
      </c>
      <c r="G4550">
        <v>3</v>
      </c>
      <c r="H4550" t="s">
        <v>226</v>
      </c>
      <c r="I4550" t="s">
        <v>122</v>
      </c>
      <c r="J4550" t="s">
        <v>227</v>
      </c>
      <c r="K4550" t="s">
        <v>935</v>
      </c>
      <c r="L4550" t="s">
        <v>10704</v>
      </c>
      <c r="M4550" s="3" t="str">
        <f>HYPERLINK("..\..\Imagery\ScannedPhotos\1983\CG83-127.1.jpg")</f>
        <v>..\..\Imagery\ScannedPhotos\1983\CG83-127.1.jpg</v>
      </c>
    </row>
    <row r="4551" spans="1:13" x14ac:dyDescent="0.25">
      <c r="A4551" t="s">
        <v>10705</v>
      </c>
      <c r="B4551">
        <v>368123</v>
      </c>
      <c r="C4551">
        <v>6007306</v>
      </c>
      <c r="D4551">
        <v>21</v>
      </c>
      <c r="E4551" t="s">
        <v>15</v>
      </c>
      <c r="F4551" t="s">
        <v>10706</v>
      </c>
      <c r="G4551">
        <v>1</v>
      </c>
      <c r="H4551" t="s">
        <v>226</v>
      </c>
      <c r="I4551" t="s">
        <v>132</v>
      </c>
      <c r="J4551" t="s">
        <v>227</v>
      </c>
      <c r="K4551" t="s">
        <v>20</v>
      </c>
      <c r="L4551" t="s">
        <v>10707</v>
      </c>
      <c r="M4551" s="3" t="str">
        <f>HYPERLINK("..\..\Imagery\ScannedPhotos\1983\CG83-129.jpg")</f>
        <v>..\..\Imagery\ScannedPhotos\1983\CG83-129.jpg</v>
      </c>
    </row>
    <row r="4552" spans="1:13" x14ac:dyDescent="0.25">
      <c r="A4552" t="s">
        <v>6215</v>
      </c>
      <c r="B4552">
        <v>347774</v>
      </c>
      <c r="C4552">
        <v>6003778</v>
      </c>
      <c r="D4552">
        <v>21</v>
      </c>
      <c r="E4552" t="s">
        <v>15</v>
      </c>
      <c r="F4552" t="s">
        <v>10708</v>
      </c>
      <c r="G4552">
        <v>4</v>
      </c>
      <c r="H4552" t="s">
        <v>226</v>
      </c>
      <c r="I4552" t="s">
        <v>129</v>
      </c>
      <c r="J4552" t="s">
        <v>227</v>
      </c>
      <c r="K4552" t="s">
        <v>228</v>
      </c>
      <c r="L4552" t="s">
        <v>10709</v>
      </c>
      <c r="M4552" s="3" t="str">
        <f>HYPERLINK("..\..\Imagery\ScannedPhotos\1983\CG83-185.1.jpg")</f>
        <v>..\..\Imagery\ScannedPhotos\1983\CG83-185.1.jpg</v>
      </c>
    </row>
    <row r="4553" spans="1:13" x14ac:dyDescent="0.25">
      <c r="A4553" t="s">
        <v>6215</v>
      </c>
      <c r="B4553">
        <v>347774</v>
      </c>
      <c r="C4553">
        <v>6003778</v>
      </c>
      <c r="D4553">
        <v>21</v>
      </c>
      <c r="E4553" t="s">
        <v>15</v>
      </c>
      <c r="F4553" t="s">
        <v>10710</v>
      </c>
      <c r="G4553">
        <v>4</v>
      </c>
      <c r="H4553" t="s">
        <v>226</v>
      </c>
      <c r="I4553" t="s">
        <v>143</v>
      </c>
      <c r="J4553" t="s">
        <v>227</v>
      </c>
      <c r="K4553" t="s">
        <v>20</v>
      </c>
      <c r="L4553" t="s">
        <v>6217</v>
      </c>
      <c r="M4553" s="3" t="str">
        <f>HYPERLINK("..\..\Imagery\ScannedPhotos\1983\CG83-185.2.jpg")</f>
        <v>..\..\Imagery\ScannedPhotos\1983\CG83-185.2.jpg</v>
      </c>
    </row>
    <row r="4554" spans="1:13" x14ac:dyDescent="0.25">
      <c r="A4554" t="s">
        <v>6215</v>
      </c>
      <c r="B4554">
        <v>347774</v>
      </c>
      <c r="C4554">
        <v>6003778</v>
      </c>
      <c r="D4554">
        <v>21</v>
      </c>
      <c r="E4554" t="s">
        <v>15</v>
      </c>
      <c r="F4554" t="s">
        <v>10711</v>
      </c>
      <c r="G4554">
        <v>4</v>
      </c>
      <c r="H4554" t="s">
        <v>226</v>
      </c>
      <c r="I4554" t="s">
        <v>47</v>
      </c>
      <c r="J4554" t="s">
        <v>227</v>
      </c>
      <c r="K4554" t="s">
        <v>20</v>
      </c>
      <c r="L4554" t="s">
        <v>6217</v>
      </c>
      <c r="M4554" s="3" t="str">
        <f>HYPERLINK("..\..\Imagery\ScannedPhotos\1983\CG83-185.3.jpg")</f>
        <v>..\..\Imagery\ScannedPhotos\1983\CG83-185.3.jpg</v>
      </c>
    </row>
    <row r="4555" spans="1:13" x14ac:dyDescent="0.25">
      <c r="A4555" t="s">
        <v>3131</v>
      </c>
      <c r="B4555">
        <v>406812</v>
      </c>
      <c r="C4555">
        <v>6004126</v>
      </c>
      <c r="D4555">
        <v>21</v>
      </c>
      <c r="E4555" t="s">
        <v>15</v>
      </c>
      <c r="F4555" t="s">
        <v>10712</v>
      </c>
      <c r="G4555">
        <v>27</v>
      </c>
      <c r="H4555" t="s">
        <v>806</v>
      </c>
      <c r="I4555" t="s">
        <v>18</v>
      </c>
      <c r="J4555" t="s">
        <v>807</v>
      </c>
      <c r="K4555" t="s">
        <v>535</v>
      </c>
      <c r="L4555" t="s">
        <v>10713</v>
      </c>
      <c r="M4555" s="3" t="str">
        <f>HYPERLINK("..\..\Imagery\ScannedPhotos\1980\CG80-102.6.jpg")</f>
        <v>..\..\Imagery\ScannedPhotos\1980\CG80-102.6.jpg</v>
      </c>
    </row>
    <row r="4556" spans="1:13" x14ac:dyDescent="0.25">
      <c r="A4556" t="s">
        <v>4905</v>
      </c>
      <c r="B4556">
        <v>489250</v>
      </c>
      <c r="C4556">
        <v>5934320</v>
      </c>
      <c r="D4556">
        <v>21</v>
      </c>
      <c r="E4556" t="s">
        <v>15</v>
      </c>
      <c r="F4556" t="s">
        <v>10714</v>
      </c>
      <c r="G4556">
        <v>3</v>
      </c>
      <c r="H4556" t="s">
        <v>3982</v>
      </c>
      <c r="I4556" t="s">
        <v>74</v>
      </c>
      <c r="J4556" t="s">
        <v>2247</v>
      </c>
      <c r="K4556" t="s">
        <v>20</v>
      </c>
      <c r="L4556" t="s">
        <v>4907</v>
      </c>
      <c r="M4556" s="3" t="str">
        <f>HYPERLINK("..\..\Imagery\ScannedPhotos\1984\CG84-437.1.jpg")</f>
        <v>..\..\Imagery\ScannedPhotos\1984\CG84-437.1.jpg</v>
      </c>
    </row>
    <row r="4557" spans="1:13" x14ac:dyDescent="0.25">
      <c r="A4557" t="s">
        <v>1324</v>
      </c>
      <c r="B4557">
        <v>472809</v>
      </c>
      <c r="C4557">
        <v>6003359</v>
      </c>
      <c r="D4557">
        <v>21</v>
      </c>
      <c r="E4557" t="s">
        <v>15</v>
      </c>
      <c r="F4557" t="s">
        <v>10715</v>
      </c>
      <c r="G4557">
        <v>2</v>
      </c>
      <c r="H4557" t="s">
        <v>1326</v>
      </c>
      <c r="I4557" t="s">
        <v>114</v>
      </c>
      <c r="J4557" t="s">
        <v>95</v>
      </c>
      <c r="K4557" t="s">
        <v>935</v>
      </c>
      <c r="L4557" t="s">
        <v>10716</v>
      </c>
      <c r="M4557" s="3" t="str">
        <f>HYPERLINK("..\..\Imagery\ScannedPhotos\1980\CG80-354.2.jpg")</f>
        <v>..\..\Imagery\ScannedPhotos\1980\CG80-354.2.jpg</v>
      </c>
    </row>
    <row r="4558" spans="1:13" x14ac:dyDescent="0.25">
      <c r="A4558" t="s">
        <v>2482</v>
      </c>
      <c r="B4558">
        <v>593253</v>
      </c>
      <c r="C4558">
        <v>5785005</v>
      </c>
      <c r="D4558">
        <v>21</v>
      </c>
      <c r="E4558" t="s">
        <v>15</v>
      </c>
      <c r="F4558" t="s">
        <v>10717</v>
      </c>
      <c r="G4558">
        <v>6</v>
      </c>
      <c r="H4558" t="s">
        <v>10328</v>
      </c>
      <c r="I4558" t="s">
        <v>47</v>
      </c>
      <c r="J4558" t="s">
        <v>10329</v>
      </c>
      <c r="K4558" t="s">
        <v>20</v>
      </c>
      <c r="L4558" t="s">
        <v>8048</v>
      </c>
      <c r="M4558" s="3" t="str">
        <f>HYPERLINK("..\..\Imagery\ScannedPhotos\1987\CG87-445.6.jpg")</f>
        <v>..\..\Imagery\ScannedPhotos\1987\CG87-445.6.jpg</v>
      </c>
    </row>
    <row r="4559" spans="1:13" x14ac:dyDescent="0.25">
      <c r="A4559" t="s">
        <v>2482</v>
      </c>
      <c r="B4559">
        <v>593253</v>
      </c>
      <c r="C4559">
        <v>5785005</v>
      </c>
      <c r="D4559">
        <v>21</v>
      </c>
      <c r="E4559" t="s">
        <v>15</v>
      </c>
      <c r="F4559" t="s">
        <v>10718</v>
      </c>
      <c r="G4559">
        <v>6</v>
      </c>
      <c r="H4559" t="s">
        <v>17</v>
      </c>
      <c r="I4559" t="s">
        <v>114</v>
      </c>
      <c r="J4559" t="s">
        <v>19</v>
      </c>
      <c r="K4559" t="s">
        <v>20</v>
      </c>
      <c r="L4559" t="s">
        <v>10719</v>
      </c>
      <c r="M4559" s="3" t="str">
        <f>HYPERLINK("..\..\Imagery\ScannedPhotos\1987\CG87-445.3.jpg")</f>
        <v>..\..\Imagery\ScannedPhotos\1987\CG87-445.3.jpg</v>
      </c>
    </row>
    <row r="4560" spans="1:13" x14ac:dyDescent="0.25">
      <c r="A4560" t="s">
        <v>10720</v>
      </c>
      <c r="B4560">
        <v>486155</v>
      </c>
      <c r="C4560">
        <v>5821230</v>
      </c>
      <c r="D4560">
        <v>21</v>
      </c>
      <c r="E4560" t="s">
        <v>15</v>
      </c>
      <c r="F4560" t="s">
        <v>10721</v>
      </c>
      <c r="G4560">
        <v>1</v>
      </c>
      <c r="H4560" t="s">
        <v>2521</v>
      </c>
      <c r="I4560" t="s">
        <v>41</v>
      </c>
      <c r="J4560" t="s">
        <v>2522</v>
      </c>
      <c r="K4560" t="s">
        <v>20</v>
      </c>
      <c r="L4560" t="s">
        <v>10722</v>
      </c>
      <c r="M4560" s="3" t="str">
        <f>HYPERLINK("..\..\Imagery\ScannedPhotos\1991\VN91-381.jpg")</f>
        <v>..\..\Imagery\ScannedPhotos\1991\VN91-381.jpg</v>
      </c>
    </row>
    <row r="4561" spans="1:13" x14ac:dyDescent="0.25">
      <c r="A4561" t="s">
        <v>10723</v>
      </c>
      <c r="B4561">
        <v>486245</v>
      </c>
      <c r="C4561">
        <v>5820370</v>
      </c>
      <c r="D4561">
        <v>21</v>
      </c>
      <c r="E4561" t="s">
        <v>15</v>
      </c>
      <c r="F4561" t="s">
        <v>10724</v>
      </c>
      <c r="G4561">
        <v>1</v>
      </c>
      <c r="H4561" t="s">
        <v>2521</v>
      </c>
      <c r="I4561" t="s">
        <v>85</v>
      </c>
      <c r="J4561" t="s">
        <v>2522</v>
      </c>
      <c r="K4561" t="s">
        <v>20</v>
      </c>
      <c r="L4561" t="s">
        <v>10725</v>
      </c>
      <c r="M4561" s="3" t="str">
        <f>HYPERLINK("..\..\Imagery\ScannedPhotos\1991\VN91-383.jpg")</f>
        <v>..\..\Imagery\ScannedPhotos\1991\VN91-383.jpg</v>
      </c>
    </row>
    <row r="4562" spans="1:13" x14ac:dyDescent="0.25">
      <c r="A4562" t="s">
        <v>5450</v>
      </c>
      <c r="B4562">
        <v>488140</v>
      </c>
      <c r="C4562">
        <v>5821467</v>
      </c>
      <c r="D4562">
        <v>21</v>
      </c>
      <c r="E4562" t="s">
        <v>15</v>
      </c>
      <c r="F4562" t="s">
        <v>10726</v>
      </c>
      <c r="G4562">
        <v>3</v>
      </c>
      <c r="H4562" t="s">
        <v>2521</v>
      </c>
      <c r="I4562" t="s">
        <v>209</v>
      </c>
      <c r="J4562" t="s">
        <v>2522</v>
      </c>
      <c r="K4562" t="s">
        <v>20</v>
      </c>
      <c r="L4562" t="s">
        <v>4592</v>
      </c>
      <c r="M4562" s="3" t="str">
        <f>HYPERLINK("..\..\Imagery\ScannedPhotos\1991\VN91-388.3.jpg")</f>
        <v>..\..\Imagery\ScannedPhotos\1991\VN91-388.3.jpg</v>
      </c>
    </row>
    <row r="4563" spans="1:13" x14ac:dyDescent="0.25">
      <c r="A4563" t="s">
        <v>10727</v>
      </c>
      <c r="B4563">
        <v>493912</v>
      </c>
      <c r="C4563">
        <v>5944905</v>
      </c>
      <c r="D4563">
        <v>21</v>
      </c>
      <c r="E4563" t="s">
        <v>15</v>
      </c>
      <c r="F4563" t="s">
        <v>10728</v>
      </c>
      <c r="G4563">
        <v>2</v>
      </c>
      <c r="H4563" t="s">
        <v>113</v>
      </c>
      <c r="I4563" t="s">
        <v>85</v>
      </c>
      <c r="J4563" t="s">
        <v>115</v>
      </c>
      <c r="K4563" t="s">
        <v>20</v>
      </c>
      <c r="L4563" t="s">
        <v>10729</v>
      </c>
      <c r="M4563" s="3" t="str">
        <f>HYPERLINK("..\..\Imagery\ScannedPhotos\1977\MC77-046.1.jpg")</f>
        <v>..\..\Imagery\ScannedPhotos\1977\MC77-046.1.jpg</v>
      </c>
    </row>
    <row r="4564" spans="1:13" x14ac:dyDescent="0.25">
      <c r="A4564" t="s">
        <v>10727</v>
      </c>
      <c r="B4564">
        <v>493912</v>
      </c>
      <c r="C4564">
        <v>5944905</v>
      </c>
      <c r="D4564">
        <v>21</v>
      </c>
      <c r="E4564" t="s">
        <v>15</v>
      </c>
      <c r="F4564" t="s">
        <v>10730</v>
      </c>
      <c r="G4564">
        <v>2</v>
      </c>
      <c r="H4564" t="s">
        <v>113</v>
      </c>
      <c r="I4564" t="s">
        <v>375</v>
      </c>
      <c r="J4564" t="s">
        <v>115</v>
      </c>
      <c r="K4564" t="s">
        <v>20</v>
      </c>
      <c r="L4564" t="s">
        <v>10731</v>
      </c>
      <c r="M4564" s="3" t="str">
        <f>HYPERLINK("..\..\Imagery\ScannedPhotos\1977\MC77-046.2.jpg")</f>
        <v>..\..\Imagery\ScannedPhotos\1977\MC77-046.2.jpg</v>
      </c>
    </row>
    <row r="4565" spans="1:13" x14ac:dyDescent="0.25">
      <c r="A4565" t="s">
        <v>10732</v>
      </c>
      <c r="B4565">
        <v>494576</v>
      </c>
      <c r="C4565">
        <v>5945545</v>
      </c>
      <c r="D4565">
        <v>21</v>
      </c>
      <c r="E4565" t="s">
        <v>15</v>
      </c>
      <c r="F4565" t="s">
        <v>10733</v>
      </c>
      <c r="G4565">
        <v>1</v>
      </c>
      <c r="H4565" t="s">
        <v>113</v>
      </c>
      <c r="I4565" t="s">
        <v>94</v>
      </c>
      <c r="J4565" t="s">
        <v>115</v>
      </c>
      <c r="K4565" t="s">
        <v>20</v>
      </c>
      <c r="L4565" t="s">
        <v>4907</v>
      </c>
      <c r="M4565" s="3" t="str">
        <f>HYPERLINK("..\..\Imagery\ScannedPhotos\1977\MC77-048.jpg")</f>
        <v>..\..\Imagery\ScannedPhotos\1977\MC77-048.jpg</v>
      </c>
    </row>
    <row r="4566" spans="1:13" x14ac:dyDescent="0.25">
      <c r="A4566" t="s">
        <v>8809</v>
      </c>
      <c r="B4566">
        <v>494875</v>
      </c>
      <c r="C4566">
        <v>5820030</v>
      </c>
      <c r="D4566">
        <v>21</v>
      </c>
      <c r="E4566" t="s">
        <v>15</v>
      </c>
      <c r="F4566" t="s">
        <v>10734</v>
      </c>
      <c r="G4566">
        <v>5</v>
      </c>
      <c r="H4566" t="s">
        <v>2719</v>
      </c>
      <c r="I4566" t="s">
        <v>114</v>
      </c>
      <c r="J4566" t="s">
        <v>891</v>
      </c>
      <c r="K4566" t="s">
        <v>20</v>
      </c>
      <c r="L4566" t="s">
        <v>10735</v>
      </c>
      <c r="M4566" s="3" t="str">
        <f>HYPERLINK("..\..\Imagery\ScannedPhotos\1991\VN91-265.3.jpg")</f>
        <v>..\..\Imagery\ScannedPhotos\1991\VN91-265.3.jpg</v>
      </c>
    </row>
    <row r="4567" spans="1:13" x14ac:dyDescent="0.25">
      <c r="A4567" t="s">
        <v>8809</v>
      </c>
      <c r="B4567">
        <v>494875</v>
      </c>
      <c r="C4567">
        <v>5820030</v>
      </c>
      <c r="D4567">
        <v>21</v>
      </c>
      <c r="E4567" t="s">
        <v>15</v>
      </c>
      <c r="F4567" t="s">
        <v>10736</v>
      </c>
      <c r="G4567">
        <v>5</v>
      </c>
      <c r="H4567" t="s">
        <v>2719</v>
      </c>
      <c r="I4567" t="s">
        <v>119</v>
      </c>
      <c r="J4567" t="s">
        <v>891</v>
      </c>
      <c r="K4567" t="s">
        <v>20</v>
      </c>
      <c r="L4567" t="s">
        <v>10737</v>
      </c>
      <c r="M4567" s="3" t="str">
        <f>HYPERLINK("..\..\Imagery\ScannedPhotos\1991\VN91-265.4.jpg")</f>
        <v>..\..\Imagery\ScannedPhotos\1991\VN91-265.4.jpg</v>
      </c>
    </row>
    <row r="4568" spans="1:13" x14ac:dyDescent="0.25">
      <c r="A4568" t="s">
        <v>8809</v>
      </c>
      <c r="B4568">
        <v>494875</v>
      </c>
      <c r="C4568">
        <v>5820030</v>
      </c>
      <c r="D4568">
        <v>21</v>
      </c>
      <c r="E4568" t="s">
        <v>15</v>
      </c>
      <c r="F4568" t="s">
        <v>10738</v>
      </c>
      <c r="G4568">
        <v>5</v>
      </c>
      <c r="H4568" t="s">
        <v>2719</v>
      </c>
      <c r="I4568" t="s">
        <v>647</v>
      </c>
      <c r="J4568" t="s">
        <v>891</v>
      </c>
      <c r="K4568" t="s">
        <v>20</v>
      </c>
      <c r="L4568" t="s">
        <v>10739</v>
      </c>
      <c r="M4568" s="3" t="str">
        <f>HYPERLINK("..\..\Imagery\ScannedPhotos\1991\VN91-265.1.jpg")</f>
        <v>..\..\Imagery\ScannedPhotos\1991\VN91-265.1.jpg</v>
      </c>
    </row>
    <row r="4569" spans="1:13" x14ac:dyDescent="0.25">
      <c r="A4569" t="s">
        <v>10740</v>
      </c>
      <c r="B4569">
        <v>396960</v>
      </c>
      <c r="C4569">
        <v>5991733</v>
      </c>
      <c r="D4569">
        <v>21</v>
      </c>
      <c r="E4569" t="s">
        <v>15</v>
      </c>
      <c r="F4569" t="s">
        <v>10741</v>
      </c>
      <c r="G4569">
        <v>1</v>
      </c>
      <c r="H4569" t="s">
        <v>1593</v>
      </c>
      <c r="I4569" t="s">
        <v>214</v>
      </c>
      <c r="J4569" t="s">
        <v>1594</v>
      </c>
      <c r="K4569" t="s">
        <v>20</v>
      </c>
      <c r="L4569" t="s">
        <v>10742</v>
      </c>
      <c r="M4569" s="3" t="str">
        <f>HYPERLINK("..\..\Imagery\ScannedPhotos\1980\NN80-017.jpg")</f>
        <v>..\..\Imagery\ScannedPhotos\1980\NN80-017.jpg</v>
      </c>
    </row>
    <row r="4570" spans="1:13" x14ac:dyDescent="0.25">
      <c r="A4570" t="s">
        <v>438</v>
      </c>
      <c r="B4570">
        <v>476000</v>
      </c>
      <c r="C4570">
        <v>6045191</v>
      </c>
      <c r="D4570">
        <v>21</v>
      </c>
      <c r="E4570" t="s">
        <v>15</v>
      </c>
      <c r="F4570" t="s">
        <v>10743</v>
      </c>
      <c r="G4570">
        <v>2</v>
      </c>
      <c r="H4570" t="s">
        <v>427</v>
      </c>
      <c r="I4570" t="s">
        <v>386</v>
      </c>
      <c r="J4570" t="s">
        <v>428</v>
      </c>
      <c r="K4570" t="s">
        <v>20</v>
      </c>
      <c r="L4570" t="s">
        <v>10744</v>
      </c>
      <c r="M4570" s="3" t="str">
        <f>HYPERLINK("..\..\Imagery\ScannedPhotos\1979\AD79-224.1.jpg")</f>
        <v>..\..\Imagery\ScannedPhotos\1979\AD79-224.1.jpg</v>
      </c>
    </row>
    <row r="4571" spans="1:13" x14ac:dyDescent="0.25">
      <c r="A4571" t="s">
        <v>10745</v>
      </c>
      <c r="B4571">
        <v>474775</v>
      </c>
      <c r="C4571">
        <v>6041877</v>
      </c>
      <c r="D4571">
        <v>21</v>
      </c>
      <c r="E4571" t="s">
        <v>15</v>
      </c>
      <c r="F4571" t="s">
        <v>10746</v>
      </c>
      <c r="G4571">
        <v>2</v>
      </c>
      <c r="H4571" t="s">
        <v>427</v>
      </c>
      <c r="I4571" t="s">
        <v>195</v>
      </c>
      <c r="J4571" t="s">
        <v>428</v>
      </c>
      <c r="K4571" t="s">
        <v>20</v>
      </c>
      <c r="L4571" t="s">
        <v>4162</v>
      </c>
      <c r="M4571" s="3" t="str">
        <f>HYPERLINK("..\..\Imagery\ScannedPhotos\1979\AD79-228.2.jpg")</f>
        <v>..\..\Imagery\ScannedPhotos\1979\AD79-228.2.jpg</v>
      </c>
    </row>
    <row r="4572" spans="1:13" x14ac:dyDescent="0.25">
      <c r="A4572" t="s">
        <v>10745</v>
      </c>
      <c r="B4572">
        <v>474775</v>
      </c>
      <c r="C4572">
        <v>6041877</v>
      </c>
      <c r="D4572">
        <v>21</v>
      </c>
      <c r="E4572" t="s">
        <v>15</v>
      </c>
      <c r="F4572" t="s">
        <v>10747</v>
      </c>
      <c r="G4572">
        <v>2</v>
      </c>
      <c r="H4572" t="s">
        <v>427</v>
      </c>
      <c r="I4572" t="s">
        <v>304</v>
      </c>
      <c r="J4572" t="s">
        <v>428</v>
      </c>
      <c r="K4572" t="s">
        <v>20</v>
      </c>
      <c r="L4572" t="s">
        <v>4162</v>
      </c>
      <c r="M4572" s="3" t="str">
        <f>HYPERLINK("..\..\Imagery\ScannedPhotos\1979\AD79-228.1.jpg")</f>
        <v>..\..\Imagery\ScannedPhotos\1979\AD79-228.1.jpg</v>
      </c>
    </row>
    <row r="4573" spans="1:13" x14ac:dyDescent="0.25">
      <c r="A4573" t="s">
        <v>10748</v>
      </c>
      <c r="B4573">
        <v>414484</v>
      </c>
      <c r="C4573">
        <v>5994169</v>
      </c>
      <c r="D4573">
        <v>21</v>
      </c>
      <c r="E4573" t="s">
        <v>15</v>
      </c>
      <c r="F4573" t="s">
        <v>10749</v>
      </c>
      <c r="G4573">
        <v>1</v>
      </c>
      <c r="H4573" t="s">
        <v>758</v>
      </c>
      <c r="I4573" t="s">
        <v>47</v>
      </c>
      <c r="J4573" t="s">
        <v>759</v>
      </c>
      <c r="K4573" t="s">
        <v>20</v>
      </c>
      <c r="L4573" t="s">
        <v>10209</v>
      </c>
      <c r="M4573" s="3" t="str">
        <f>HYPERLINK("..\..\Imagery\ScannedPhotos\1980\RG80-074.jpg")</f>
        <v>..\..\Imagery\ScannedPhotos\1980\RG80-074.jpg</v>
      </c>
    </row>
    <row r="4574" spans="1:13" x14ac:dyDescent="0.25">
      <c r="A4574" t="s">
        <v>1184</v>
      </c>
      <c r="B4574">
        <v>498017</v>
      </c>
      <c r="C4574">
        <v>5950628</v>
      </c>
      <c r="D4574">
        <v>21</v>
      </c>
      <c r="E4574" t="s">
        <v>15</v>
      </c>
      <c r="F4574" t="s">
        <v>10750</v>
      </c>
      <c r="G4574">
        <v>26</v>
      </c>
      <c r="H4574" t="s">
        <v>1188</v>
      </c>
      <c r="I4574" t="s">
        <v>214</v>
      </c>
      <c r="J4574" t="s">
        <v>48</v>
      </c>
      <c r="K4574" t="s">
        <v>535</v>
      </c>
      <c r="L4574" t="s">
        <v>10751</v>
      </c>
      <c r="M4574" s="3" t="str">
        <f>HYPERLINK("..\..\Imagery\ScannedPhotos\1981\CG81-001.4.jpg")</f>
        <v>..\..\Imagery\ScannedPhotos\1981\CG81-001.4.jpg</v>
      </c>
    </row>
    <row r="4575" spans="1:13" x14ac:dyDescent="0.25">
      <c r="A4575" t="s">
        <v>1184</v>
      </c>
      <c r="B4575">
        <v>498017</v>
      </c>
      <c r="C4575">
        <v>5950628</v>
      </c>
      <c r="D4575">
        <v>21</v>
      </c>
      <c r="E4575" t="s">
        <v>15</v>
      </c>
      <c r="F4575" t="s">
        <v>10752</v>
      </c>
      <c r="G4575">
        <v>26</v>
      </c>
      <c r="H4575" t="s">
        <v>1188</v>
      </c>
      <c r="I4575" t="s">
        <v>217</v>
      </c>
      <c r="J4575" t="s">
        <v>48</v>
      </c>
      <c r="K4575" t="s">
        <v>535</v>
      </c>
      <c r="L4575" t="s">
        <v>10753</v>
      </c>
      <c r="M4575" s="3" t="str">
        <f>HYPERLINK("..\..\Imagery\ScannedPhotos\1981\CG81-001.3.jpg")</f>
        <v>..\..\Imagery\ScannedPhotos\1981\CG81-001.3.jpg</v>
      </c>
    </row>
    <row r="4576" spans="1:13" x14ac:dyDescent="0.25">
      <c r="A4576" t="s">
        <v>1184</v>
      </c>
      <c r="B4576">
        <v>498017</v>
      </c>
      <c r="C4576">
        <v>5950628</v>
      </c>
      <c r="D4576">
        <v>21</v>
      </c>
      <c r="E4576" t="s">
        <v>15</v>
      </c>
      <c r="F4576" t="s">
        <v>10754</v>
      </c>
      <c r="G4576">
        <v>26</v>
      </c>
      <c r="H4576" t="s">
        <v>1188</v>
      </c>
      <c r="I4576" t="s">
        <v>386</v>
      </c>
      <c r="J4576" t="s">
        <v>48</v>
      </c>
      <c r="K4576" t="s">
        <v>535</v>
      </c>
      <c r="L4576" t="s">
        <v>10755</v>
      </c>
      <c r="M4576" s="3" t="str">
        <f>HYPERLINK("..\..\Imagery\ScannedPhotos\1981\CG81-001.2.jpg")</f>
        <v>..\..\Imagery\ScannedPhotos\1981\CG81-001.2.jpg</v>
      </c>
    </row>
    <row r="4577" spans="1:13" x14ac:dyDescent="0.25">
      <c r="A4577" t="s">
        <v>1184</v>
      </c>
      <c r="B4577">
        <v>498017</v>
      </c>
      <c r="C4577">
        <v>5950628</v>
      </c>
      <c r="D4577">
        <v>21</v>
      </c>
      <c r="E4577" t="s">
        <v>15</v>
      </c>
      <c r="F4577" t="s">
        <v>10756</v>
      </c>
      <c r="G4577">
        <v>26</v>
      </c>
      <c r="H4577" t="s">
        <v>1188</v>
      </c>
      <c r="I4577" t="s">
        <v>209</v>
      </c>
      <c r="J4577" t="s">
        <v>48</v>
      </c>
      <c r="K4577" t="s">
        <v>535</v>
      </c>
      <c r="L4577" t="s">
        <v>10757</v>
      </c>
      <c r="M4577" s="3" t="str">
        <f>HYPERLINK("..\..\Imagery\ScannedPhotos\1981\CG81-001.1.jpg")</f>
        <v>..\..\Imagery\ScannedPhotos\1981\CG81-001.1.jpg</v>
      </c>
    </row>
    <row r="4578" spans="1:13" x14ac:dyDescent="0.25">
      <c r="A4578" t="s">
        <v>1184</v>
      </c>
      <c r="B4578">
        <v>498017</v>
      </c>
      <c r="C4578">
        <v>5950628</v>
      </c>
      <c r="D4578">
        <v>21</v>
      </c>
      <c r="E4578" t="s">
        <v>15</v>
      </c>
      <c r="F4578" t="s">
        <v>10758</v>
      </c>
      <c r="G4578">
        <v>26</v>
      </c>
      <c r="H4578" t="s">
        <v>2733</v>
      </c>
      <c r="I4578" t="s">
        <v>147</v>
      </c>
      <c r="J4578" t="s">
        <v>814</v>
      </c>
      <c r="K4578" t="s">
        <v>228</v>
      </c>
      <c r="L4578" t="s">
        <v>10759</v>
      </c>
      <c r="M4578" s="3" t="str">
        <f>HYPERLINK("..\..\Imagery\ScannedPhotos\1981\CG81-001.26.jpg")</f>
        <v>..\..\Imagery\ScannedPhotos\1981\CG81-001.26.jpg</v>
      </c>
    </row>
    <row r="4579" spans="1:13" x14ac:dyDescent="0.25">
      <c r="A4579" t="s">
        <v>1184</v>
      </c>
      <c r="B4579">
        <v>498017</v>
      </c>
      <c r="C4579">
        <v>5950628</v>
      </c>
      <c r="D4579">
        <v>21</v>
      </c>
      <c r="E4579" t="s">
        <v>15</v>
      </c>
      <c r="F4579" t="s">
        <v>10760</v>
      </c>
      <c r="G4579">
        <v>26</v>
      </c>
      <c r="H4579" t="s">
        <v>2733</v>
      </c>
      <c r="I4579" t="s">
        <v>143</v>
      </c>
      <c r="J4579" t="s">
        <v>814</v>
      </c>
      <c r="K4579" t="s">
        <v>228</v>
      </c>
      <c r="L4579" t="s">
        <v>10761</v>
      </c>
      <c r="M4579" s="3" t="str">
        <f>HYPERLINK("..\..\Imagery\ScannedPhotos\1981\CG81-001.25.jpg")</f>
        <v>..\..\Imagery\ScannedPhotos\1981\CG81-001.25.jpg</v>
      </c>
    </row>
    <row r="4580" spans="1:13" x14ac:dyDescent="0.25">
      <c r="A4580" t="s">
        <v>10762</v>
      </c>
      <c r="B4580">
        <v>498486</v>
      </c>
      <c r="C4580">
        <v>5951343</v>
      </c>
      <c r="D4580">
        <v>21</v>
      </c>
      <c r="E4580" t="s">
        <v>15</v>
      </c>
      <c r="F4580" t="s">
        <v>10763</v>
      </c>
      <c r="G4580">
        <v>1</v>
      </c>
      <c r="H4580" t="s">
        <v>443</v>
      </c>
      <c r="I4580" t="s">
        <v>18</v>
      </c>
      <c r="J4580" t="s">
        <v>48</v>
      </c>
      <c r="K4580" t="s">
        <v>20</v>
      </c>
      <c r="L4580" t="s">
        <v>10764</v>
      </c>
      <c r="M4580" s="3" t="str">
        <f>HYPERLINK("..\..\Imagery\ScannedPhotos\1981\CG81-002.jpg")</f>
        <v>..\..\Imagery\ScannedPhotos\1981\CG81-002.jpg</v>
      </c>
    </row>
    <row r="4581" spans="1:13" x14ac:dyDescent="0.25">
      <c r="A4581" t="s">
        <v>10765</v>
      </c>
      <c r="B4581">
        <v>498572</v>
      </c>
      <c r="C4581">
        <v>5951423</v>
      </c>
      <c r="D4581">
        <v>21</v>
      </c>
      <c r="E4581" t="s">
        <v>15</v>
      </c>
      <c r="F4581" t="s">
        <v>10766</v>
      </c>
      <c r="G4581">
        <v>1</v>
      </c>
      <c r="H4581" t="s">
        <v>443</v>
      </c>
      <c r="I4581" t="s">
        <v>35</v>
      </c>
      <c r="J4581" t="s">
        <v>48</v>
      </c>
      <c r="K4581" t="s">
        <v>20</v>
      </c>
      <c r="L4581" t="s">
        <v>10767</v>
      </c>
      <c r="M4581" s="3" t="str">
        <f>HYPERLINK("..\..\Imagery\ScannedPhotos\1981\CG81-003.jpg")</f>
        <v>..\..\Imagery\ScannedPhotos\1981\CG81-003.jpg</v>
      </c>
    </row>
    <row r="4582" spans="1:13" x14ac:dyDescent="0.25">
      <c r="A4582" t="s">
        <v>9848</v>
      </c>
      <c r="B4582">
        <v>395369</v>
      </c>
      <c r="C4582">
        <v>5989742</v>
      </c>
      <c r="D4582">
        <v>21</v>
      </c>
      <c r="E4582" t="s">
        <v>15</v>
      </c>
      <c r="F4582" t="s">
        <v>10768</v>
      </c>
      <c r="G4582">
        <v>4</v>
      </c>
      <c r="H4582" t="s">
        <v>781</v>
      </c>
      <c r="I4582" t="s">
        <v>647</v>
      </c>
      <c r="J4582" t="s">
        <v>782</v>
      </c>
      <c r="K4582" t="s">
        <v>20</v>
      </c>
      <c r="L4582" t="s">
        <v>10769</v>
      </c>
      <c r="M4582" s="3" t="str">
        <f>HYPERLINK("..\..\Imagery\ScannedPhotos\1980\NN80-100.1.jpg")</f>
        <v>..\..\Imagery\ScannedPhotos\1980\NN80-100.1.jpg</v>
      </c>
    </row>
    <row r="4583" spans="1:13" x14ac:dyDescent="0.25">
      <c r="A4583" t="s">
        <v>9848</v>
      </c>
      <c r="B4583">
        <v>395369</v>
      </c>
      <c r="C4583">
        <v>5989742</v>
      </c>
      <c r="D4583">
        <v>21</v>
      </c>
      <c r="E4583" t="s">
        <v>15</v>
      </c>
      <c r="F4583" t="s">
        <v>10770</v>
      </c>
      <c r="G4583">
        <v>4</v>
      </c>
      <c r="H4583" t="s">
        <v>781</v>
      </c>
      <c r="I4583" t="s">
        <v>119</v>
      </c>
      <c r="J4583" t="s">
        <v>782</v>
      </c>
      <c r="K4583" t="s">
        <v>56</v>
      </c>
      <c r="L4583" t="s">
        <v>10771</v>
      </c>
      <c r="M4583" s="3" t="str">
        <f>HYPERLINK("..\..\Imagery\ScannedPhotos\1980\NN80-100.4.jpg")</f>
        <v>..\..\Imagery\ScannedPhotos\1980\NN80-100.4.jpg</v>
      </c>
    </row>
    <row r="4584" spans="1:13" x14ac:dyDescent="0.25">
      <c r="A4584" t="s">
        <v>9848</v>
      </c>
      <c r="B4584">
        <v>395369</v>
      </c>
      <c r="C4584">
        <v>5989742</v>
      </c>
      <c r="D4584">
        <v>21</v>
      </c>
      <c r="E4584" t="s">
        <v>15</v>
      </c>
      <c r="F4584" t="s">
        <v>10772</v>
      </c>
      <c r="G4584">
        <v>4</v>
      </c>
      <c r="H4584" t="s">
        <v>781</v>
      </c>
      <c r="I4584" t="s">
        <v>30</v>
      </c>
      <c r="J4584" t="s">
        <v>782</v>
      </c>
      <c r="K4584" t="s">
        <v>20</v>
      </c>
      <c r="L4584" t="s">
        <v>10773</v>
      </c>
      <c r="M4584" s="3" t="str">
        <f>HYPERLINK("..\..\Imagery\ScannedPhotos\1980\NN80-100.2.jpg")</f>
        <v>..\..\Imagery\ScannedPhotos\1980\NN80-100.2.jpg</v>
      </c>
    </row>
    <row r="4585" spans="1:13" x14ac:dyDescent="0.25">
      <c r="A4585" t="s">
        <v>10774</v>
      </c>
      <c r="B4585">
        <v>378051</v>
      </c>
      <c r="C4585">
        <v>5978821</v>
      </c>
      <c r="D4585">
        <v>21</v>
      </c>
      <c r="E4585" t="s">
        <v>15</v>
      </c>
      <c r="F4585" t="s">
        <v>10775</v>
      </c>
      <c r="G4585">
        <v>1</v>
      </c>
      <c r="H4585" t="s">
        <v>622</v>
      </c>
      <c r="I4585" t="s">
        <v>30</v>
      </c>
      <c r="J4585" t="s">
        <v>623</v>
      </c>
      <c r="K4585" t="s">
        <v>20</v>
      </c>
      <c r="L4585" t="s">
        <v>10776</v>
      </c>
      <c r="M4585" s="3" t="str">
        <f>HYPERLINK("..\..\Imagery\ScannedPhotos\1980\NN80-167.jpg")</f>
        <v>..\..\Imagery\ScannedPhotos\1980\NN80-167.jpg</v>
      </c>
    </row>
    <row r="4586" spans="1:13" x14ac:dyDescent="0.25">
      <c r="A4586" t="s">
        <v>10777</v>
      </c>
      <c r="B4586">
        <v>378148</v>
      </c>
      <c r="C4586">
        <v>5978880</v>
      </c>
      <c r="D4586">
        <v>21</v>
      </c>
      <c r="E4586" t="s">
        <v>15</v>
      </c>
      <c r="F4586" t="s">
        <v>10778</v>
      </c>
      <c r="G4586">
        <v>1</v>
      </c>
      <c r="H4586" t="s">
        <v>622</v>
      </c>
      <c r="I4586" t="s">
        <v>114</v>
      </c>
      <c r="J4586" t="s">
        <v>623</v>
      </c>
      <c r="K4586" t="s">
        <v>20</v>
      </c>
      <c r="L4586" t="s">
        <v>10779</v>
      </c>
      <c r="M4586" s="3" t="str">
        <f>HYPERLINK("..\..\Imagery\ScannedPhotos\1980\NN80-168.jpg")</f>
        <v>..\..\Imagery\ScannedPhotos\1980\NN80-168.jpg</v>
      </c>
    </row>
    <row r="4587" spans="1:13" x14ac:dyDescent="0.25">
      <c r="A4587" t="s">
        <v>10780</v>
      </c>
      <c r="B4587">
        <v>378176</v>
      </c>
      <c r="C4587">
        <v>5978982</v>
      </c>
      <c r="D4587">
        <v>21</v>
      </c>
      <c r="E4587" t="s">
        <v>15</v>
      </c>
      <c r="F4587" t="s">
        <v>10781</v>
      </c>
      <c r="G4587">
        <v>2</v>
      </c>
      <c r="H4587" t="s">
        <v>622</v>
      </c>
      <c r="I4587" t="s">
        <v>122</v>
      </c>
      <c r="J4587" t="s">
        <v>623</v>
      </c>
      <c r="K4587" t="s">
        <v>20</v>
      </c>
      <c r="L4587" t="s">
        <v>10782</v>
      </c>
      <c r="M4587" s="3" t="str">
        <f>HYPERLINK("..\..\Imagery\ScannedPhotos\1980\NN80-169.2.jpg")</f>
        <v>..\..\Imagery\ScannedPhotos\1980\NN80-169.2.jpg</v>
      </c>
    </row>
    <row r="4588" spans="1:13" x14ac:dyDescent="0.25">
      <c r="A4588" t="s">
        <v>10780</v>
      </c>
      <c r="B4588">
        <v>378176</v>
      </c>
      <c r="C4588">
        <v>5978982</v>
      </c>
      <c r="D4588">
        <v>21</v>
      </c>
      <c r="E4588" t="s">
        <v>15</v>
      </c>
      <c r="F4588" t="s">
        <v>10783</v>
      </c>
      <c r="G4588">
        <v>2</v>
      </c>
      <c r="H4588" t="s">
        <v>622</v>
      </c>
      <c r="I4588" t="s">
        <v>119</v>
      </c>
      <c r="J4588" t="s">
        <v>623</v>
      </c>
      <c r="K4588" t="s">
        <v>20</v>
      </c>
      <c r="L4588" t="s">
        <v>10782</v>
      </c>
      <c r="M4588" s="3" t="str">
        <f>HYPERLINK("..\..\Imagery\ScannedPhotos\1980\NN80-169.1.jpg")</f>
        <v>..\..\Imagery\ScannedPhotos\1980\NN80-169.1.jpg</v>
      </c>
    </row>
    <row r="4589" spans="1:13" x14ac:dyDescent="0.25">
      <c r="A4589" t="s">
        <v>3573</v>
      </c>
      <c r="B4589">
        <v>415874</v>
      </c>
      <c r="C4589">
        <v>6011235</v>
      </c>
      <c r="D4589">
        <v>21</v>
      </c>
      <c r="E4589" t="s">
        <v>15</v>
      </c>
      <c r="F4589" t="s">
        <v>10784</v>
      </c>
      <c r="G4589">
        <v>2</v>
      </c>
      <c r="H4589" t="s">
        <v>2319</v>
      </c>
      <c r="I4589" t="s">
        <v>137</v>
      </c>
      <c r="J4589" t="s">
        <v>759</v>
      </c>
      <c r="K4589" t="s">
        <v>20</v>
      </c>
      <c r="L4589" t="s">
        <v>3575</v>
      </c>
      <c r="M4589" s="3" t="str">
        <f>HYPERLINK("..\..\Imagery\ScannedPhotos\1980\CG80-004.2.jpg")</f>
        <v>..\..\Imagery\ScannedPhotos\1980\CG80-004.2.jpg</v>
      </c>
    </row>
    <row r="4590" spans="1:13" x14ac:dyDescent="0.25">
      <c r="A4590" t="s">
        <v>9491</v>
      </c>
      <c r="B4590">
        <v>370136</v>
      </c>
      <c r="C4590">
        <v>6084121</v>
      </c>
      <c r="D4590">
        <v>21</v>
      </c>
      <c r="E4590" t="s">
        <v>15</v>
      </c>
      <c r="F4590" t="s">
        <v>10785</v>
      </c>
      <c r="G4590">
        <v>2</v>
      </c>
      <c r="H4590" t="s">
        <v>1623</v>
      </c>
      <c r="I4590" t="s">
        <v>79</v>
      </c>
      <c r="J4590" t="s">
        <v>1624</v>
      </c>
      <c r="K4590" t="s">
        <v>20</v>
      </c>
      <c r="L4590" t="s">
        <v>10786</v>
      </c>
      <c r="M4590" s="3" t="str">
        <f>HYPERLINK("..\..\Imagery\ScannedPhotos\1978\AL78-011.2.jpg")</f>
        <v>..\..\Imagery\ScannedPhotos\1978\AL78-011.2.jpg</v>
      </c>
    </row>
    <row r="4591" spans="1:13" x14ac:dyDescent="0.25">
      <c r="A4591" t="s">
        <v>10787</v>
      </c>
      <c r="B4591">
        <v>372167</v>
      </c>
      <c r="C4591">
        <v>6083033</v>
      </c>
      <c r="D4591">
        <v>21</v>
      </c>
      <c r="E4591" t="s">
        <v>15</v>
      </c>
      <c r="F4591" t="s">
        <v>10788</v>
      </c>
      <c r="G4591">
        <v>2</v>
      </c>
      <c r="H4591" t="s">
        <v>1623</v>
      </c>
      <c r="I4591" t="s">
        <v>281</v>
      </c>
      <c r="J4591" t="s">
        <v>1624</v>
      </c>
      <c r="K4591" t="s">
        <v>20</v>
      </c>
      <c r="L4591" t="s">
        <v>10789</v>
      </c>
      <c r="M4591" s="3" t="str">
        <f>HYPERLINK("..\..\Imagery\ScannedPhotos\1978\AL78-015.1.jpg")</f>
        <v>..\..\Imagery\ScannedPhotos\1978\AL78-015.1.jpg</v>
      </c>
    </row>
    <row r="4592" spans="1:13" x14ac:dyDescent="0.25">
      <c r="A4592" t="s">
        <v>10790</v>
      </c>
      <c r="B4592">
        <v>372707</v>
      </c>
      <c r="C4592">
        <v>6083526</v>
      </c>
      <c r="D4592">
        <v>21</v>
      </c>
      <c r="E4592" t="s">
        <v>15</v>
      </c>
      <c r="F4592" t="s">
        <v>10791</v>
      </c>
      <c r="G4592">
        <v>1</v>
      </c>
      <c r="H4592" t="s">
        <v>1623</v>
      </c>
      <c r="I4592" t="s">
        <v>18</v>
      </c>
      <c r="J4592" t="s">
        <v>1624</v>
      </c>
      <c r="K4592" t="s">
        <v>20</v>
      </c>
      <c r="L4592" t="s">
        <v>10792</v>
      </c>
      <c r="M4592" s="3" t="str">
        <f>HYPERLINK("..\..\Imagery\ScannedPhotos\1978\AL78-016.jpg")</f>
        <v>..\..\Imagery\ScannedPhotos\1978\AL78-016.jpg</v>
      </c>
    </row>
    <row r="4593" spans="1:13" x14ac:dyDescent="0.25">
      <c r="A4593" t="s">
        <v>10793</v>
      </c>
      <c r="B4593">
        <v>374784</v>
      </c>
      <c r="C4593">
        <v>6086390</v>
      </c>
      <c r="D4593">
        <v>21</v>
      </c>
      <c r="E4593" t="s">
        <v>15</v>
      </c>
      <c r="F4593" t="s">
        <v>10794</v>
      </c>
      <c r="G4593">
        <v>2</v>
      </c>
      <c r="H4593" t="s">
        <v>1623</v>
      </c>
      <c r="I4593" t="s">
        <v>69</v>
      </c>
      <c r="J4593" t="s">
        <v>1624</v>
      </c>
      <c r="K4593" t="s">
        <v>20</v>
      </c>
      <c r="L4593" t="s">
        <v>10795</v>
      </c>
      <c r="M4593" s="3" t="str">
        <f>HYPERLINK("..\..\Imagery\ScannedPhotos\1978\AL78-018.2.jpg")</f>
        <v>..\..\Imagery\ScannedPhotos\1978\AL78-018.2.jpg</v>
      </c>
    </row>
    <row r="4594" spans="1:13" x14ac:dyDescent="0.25">
      <c r="A4594" t="s">
        <v>10793</v>
      </c>
      <c r="B4594">
        <v>374784</v>
      </c>
      <c r="C4594">
        <v>6086390</v>
      </c>
      <c r="D4594">
        <v>21</v>
      </c>
      <c r="E4594" t="s">
        <v>15</v>
      </c>
      <c r="F4594" t="s">
        <v>10796</v>
      </c>
      <c r="G4594">
        <v>2</v>
      </c>
      <c r="H4594" t="s">
        <v>1623</v>
      </c>
      <c r="I4594" t="s">
        <v>35</v>
      </c>
      <c r="J4594" t="s">
        <v>1624</v>
      </c>
      <c r="K4594" t="s">
        <v>20</v>
      </c>
      <c r="L4594" t="s">
        <v>10797</v>
      </c>
      <c r="M4594" s="3" t="str">
        <f>HYPERLINK("..\..\Imagery\ScannedPhotos\1978\AL78-018.1.jpg")</f>
        <v>..\..\Imagery\ScannedPhotos\1978\AL78-018.1.jpg</v>
      </c>
    </row>
    <row r="4595" spans="1:13" x14ac:dyDescent="0.25">
      <c r="A4595" t="s">
        <v>10798</v>
      </c>
      <c r="B4595">
        <v>511840</v>
      </c>
      <c r="C4595">
        <v>5823917</v>
      </c>
      <c r="D4595">
        <v>21</v>
      </c>
      <c r="E4595" t="s">
        <v>15</v>
      </c>
      <c r="F4595" t="s">
        <v>10799</v>
      </c>
      <c r="G4595">
        <v>1</v>
      </c>
      <c r="H4595" t="s">
        <v>2130</v>
      </c>
      <c r="I4595" t="s">
        <v>375</v>
      </c>
      <c r="J4595" t="s">
        <v>300</v>
      </c>
      <c r="K4595" t="s">
        <v>20</v>
      </c>
      <c r="L4595" t="s">
        <v>10800</v>
      </c>
      <c r="M4595" s="3" t="str">
        <f>HYPERLINK("..\..\Imagery\ScannedPhotos\1986\JS86-305.jpg")</f>
        <v>..\..\Imagery\ScannedPhotos\1986\JS86-305.jpg</v>
      </c>
    </row>
    <row r="4596" spans="1:13" x14ac:dyDescent="0.25">
      <c r="A4596" t="s">
        <v>10801</v>
      </c>
      <c r="B4596">
        <v>577133</v>
      </c>
      <c r="C4596">
        <v>5871248</v>
      </c>
      <c r="D4596">
        <v>21</v>
      </c>
      <c r="E4596" t="s">
        <v>15</v>
      </c>
      <c r="F4596" t="s">
        <v>10802</v>
      </c>
      <c r="G4596">
        <v>1</v>
      </c>
      <c r="H4596" t="s">
        <v>2130</v>
      </c>
      <c r="I4596" t="s">
        <v>94</v>
      </c>
      <c r="J4596" t="s">
        <v>300</v>
      </c>
      <c r="K4596" t="s">
        <v>20</v>
      </c>
      <c r="L4596" t="s">
        <v>71</v>
      </c>
      <c r="M4596" s="3" t="str">
        <f>HYPERLINK("..\..\Imagery\ScannedPhotos\1986\JS86-320.jpg")</f>
        <v>..\..\Imagery\ScannedPhotos\1986\JS86-320.jpg</v>
      </c>
    </row>
    <row r="4597" spans="1:13" x14ac:dyDescent="0.25">
      <c r="A4597" t="s">
        <v>10803</v>
      </c>
      <c r="B4597">
        <v>569618</v>
      </c>
      <c r="C4597">
        <v>5830076</v>
      </c>
      <c r="D4597">
        <v>21</v>
      </c>
      <c r="E4597" t="s">
        <v>15</v>
      </c>
      <c r="F4597" t="s">
        <v>10804</v>
      </c>
      <c r="G4597">
        <v>1</v>
      </c>
      <c r="H4597" t="s">
        <v>2130</v>
      </c>
      <c r="I4597" t="s">
        <v>209</v>
      </c>
      <c r="J4597" t="s">
        <v>300</v>
      </c>
      <c r="K4597" t="s">
        <v>20</v>
      </c>
      <c r="L4597" t="s">
        <v>10805</v>
      </c>
      <c r="M4597" s="3" t="str">
        <f>HYPERLINK("..\..\Imagery\ScannedPhotos\1986\JS86-338.jpg")</f>
        <v>..\..\Imagery\ScannedPhotos\1986\JS86-338.jpg</v>
      </c>
    </row>
    <row r="4598" spans="1:13" x14ac:dyDescent="0.25">
      <c r="A4598" t="s">
        <v>10806</v>
      </c>
      <c r="B4598">
        <v>538095</v>
      </c>
      <c r="C4598">
        <v>5811037</v>
      </c>
      <c r="D4598">
        <v>21</v>
      </c>
      <c r="E4598" t="s">
        <v>15</v>
      </c>
      <c r="F4598" t="s">
        <v>10807</v>
      </c>
      <c r="G4598">
        <v>1</v>
      </c>
      <c r="H4598" t="s">
        <v>796</v>
      </c>
      <c r="I4598" t="s">
        <v>18</v>
      </c>
      <c r="J4598" t="s">
        <v>797</v>
      </c>
      <c r="K4598" t="s">
        <v>20</v>
      </c>
      <c r="L4598" t="s">
        <v>133</v>
      </c>
      <c r="M4598" s="3" t="str">
        <f>HYPERLINK("..\..\Imagery\ScannedPhotos\1987\JS87-041.jpg")</f>
        <v>..\..\Imagery\ScannedPhotos\1987\JS87-041.jpg</v>
      </c>
    </row>
    <row r="4599" spans="1:13" x14ac:dyDescent="0.25">
      <c r="A4599" t="s">
        <v>10808</v>
      </c>
      <c r="B4599">
        <v>537026</v>
      </c>
      <c r="C4599">
        <v>5809673</v>
      </c>
      <c r="D4599">
        <v>21</v>
      </c>
      <c r="E4599" t="s">
        <v>15</v>
      </c>
      <c r="F4599" t="s">
        <v>10809</v>
      </c>
      <c r="G4599">
        <v>1</v>
      </c>
      <c r="H4599" t="s">
        <v>796</v>
      </c>
      <c r="I4599" t="s">
        <v>35</v>
      </c>
      <c r="J4599" t="s">
        <v>797</v>
      </c>
      <c r="K4599" t="s">
        <v>20</v>
      </c>
      <c r="L4599" t="s">
        <v>10810</v>
      </c>
      <c r="M4599" s="3" t="str">
        <f>HYPERLINK("..\..\Imagery\ScannedPhotos\1987\JS87-044.jpg")</f>
        <v>..\..\Imagery\ScannedPhotos\1987\JS87-044.jpg</v>
      </c>
    </row>
    <row r="4600" spans="1:13" x14ac:dyDescent="0.25">
      <c r="A4600" t="s">
        <v>10811</v>
      </c>
      <c r="B4600">
        <v>536440</v>
      </c>
      <c r="C4600">
        <v>5808948</v>
      </c>
      <c r="D4600">
        <v>21</v>
      </c>
      <c r="E4600" t="s">
        <v>15</v>
      </c>
      <c r="F4600" t="s">
        <v>10812</v>
      </c>
      <c r="G4600">
        <v>1</v>
      </c>
      <c r="H4600" t="s">
        <v>796</v>
      </c>
      <c r="I4600" t="s">
        <v>69</v>
      </c>
      <c r="J4600" t="s">
        <v>797</v>
      </c>
      <c r="K4600" t="s">
        <v>20</v>
      </c>
      <c r="L4600" t="s">
        <v>867</v>
      </c>
      <c r="M4600" s="3" t="str">
        <f>HYPERLINK("..\..\Imagery\ScannedPhotos\1987\JS87-045.jpg")</f>
        <v>..\..\Imagery\ScannedPhotos\1987\JS87-045.jpg</v>
      </c>
    </row>
    <row r="4601" spans="1:13" x14ac:dyDescent="0.25">
      <c r="A4601" t="s">
        <v>10813</v>
      </c>
      <c r="B4601">
        <v>536218</v>
      </c>
      <c r="C4601">
        <v>5808309</v>
      </c>
      <c r="D4601">
        <v>21</v>
      </c>
      <c r="E4601" t="s">
        <v>15</v>
      </c>
      <c r="F4601" t="s">
        <v>10814</v>
      </c>
      <c r="G4601">
        <v>1</v>
      </c>
      <c r="H4601" t="s">
        <v>796</v>
      </c>
      <c r="I4601" t="s">
        <v>85</v>
      </c>
      <c r="J4601" t="s">
        <v>797</v>
      </c>
      <c r="K4601" t="s">
        <v>20</v>
      </c>
      <c r="L4601" t="s">
        <v>10815</v>
      </c>
      <c r="M4601" s="3" t="str">
        <f>HYPERLINK("..\..\Imagery\ScannedPhotos\1987\JS87-046.jpg")</f>
        <v>..\..\Imagery\ScannedPhotos\1987\JS87-046.jpg</v>
      </c>
    </row>
    <row r="4602" spans="1:13" x14ac:dyDescent="0.25">
      <c r="A4602" t="s">
        <v>10816</v>
      </c>
      <c r="B4602">
        <v>545822</v>
      </c>
      <c r="C4602">
        <v>5815879</v>
      </c>
      <c r="D4602">
        <v>21</v>
      </c>
      <c r="E4602" t="s">
        <v>15</v>
      </c>
      <c r="F4602" t="s">
        <v>10817</v>
      </c>
      <c r="G4602">
        <v>1</v>
      </c>
      <c r="H4602" t="s">
        <v>796</v>
      </c>
      <c r="I4602" t="s">
        <v>375</v>
      </c>
      <c r="J4602" t="s">
        <v>797</v>
      </c>
      <c r="K4602" t="s">
        <v>20</v>
      </c>
      <c r="L4602" t="s">
        <v>10818</v>
      </c>
      <c r="M4602" s="3" t="str">
        <f>HYPERLINK("..\..\Imagery\ScannedPhotos\1987\JS87-047.jpg")</f>
        <v>..\..\Imagery\ScannedPhotos\1987\JS87-047.jpg</v>
      </c>
    </row>
    <row r="4603" spans="1:13" x14ac:dyDescent="0.25">
      <c r="A4603" t="s">
        <v>10819</v>
      </c>
      <c r="B4603">
        <v>587620</v>
      </c>
      <c r="C4603">
        <v>5768998</v>
      </c>
      <c r="D4603">
        <v>21</v>
      </c>
      <c r="E4603" t="s">
        <v>15</v>
      </c>
      <c r="F4603" t="s">
        <v>10820</v>
      </c>
      <c r="G4603">
        <v>4</v>
      </c>
      <c r="H4603" t="s">
        <v>2099</v>
      </c>
      <c r="J4603" t="s">
        <v>48</v>
      </c>
      <c r="K4603" t="s">
        <v>20</v>
      </c>
      <c r="L4603" t="s">
        <v>10821</v>
      </c>
      <c r="M4603" s="3" t="str">
        <f>HYPERLINK("..\..\Imagery\ScannedPhotos\1987\CG87-480.2.jpg")</f>
        <v>..\..\Imagery\ScannedPhotos\1987\CG87-480.2.jpg</v>
      </c>
    </row>
    <row r="4604" spans="1:13" x14ac:dyDescent="0.25">
      <c r="A4604" t="s">
        <v>10819</v>
      </c>
      <c r="B4604">
        <v>587620</v>
      </c>
      <c r="C4604">
        <v>5768998</v>
      </c>
      <c r="D4604">
        <v>21</v>
      </c>
      <c r="E4604" t="s">
        <v>15</v>
      </c>
      <c r="F4604" t="s">
        <v>10822</v>
      </c>
      <c r="G4604">
        <v>4</v>
      </c>
      <c r="H4604" t="s">
        <v>34</v>
      </c>
      <c r="I4604" t="s">
        <v>214</v>
      </c>
      <c r="J4604" t="s">
        <v>36</v>
      </c>
      <c r="K4604" t="s">
        <v>20</v>
      </c>
      <c r="L4604" t="s">
        <v>10823</v>
      </c>
      <c r="M4604" s="3" t="str">
        <f>HYPERLINK("..\..\Imagery\ScannedPhotos\1987\CG87-480.3.jpg")</f>
        <v>..\..\Imagery\ScannedPhotos\1987\CG87-480.3.jpg</v>
      </c>
    </row>
    <row r="4605" spans="1:13" x14ac:dyDescent="0.25">
      <c r="A4605" t="s">
        <v>10819</v>
      </c>
      <c r="B4605">
        <v>587620</v>
      </c>
      <c r="C4605">
        <v>5768998</v>
      </c>
      <c r="D4605">
        <v>21</v>
      </c>
      <c r="E4605" t="s">
        <v>15</v>
      </c>
      <c r="F4605" t="s">
        <v>10824</v>
      </c>
      <c r="G4605">
        <v>4</v>
      </c>
      <c r="H4605" t="s">
        <v>34</v>
      </c>
      <c r="I4605" t="s">
        <v>222</v>
      </c>
      <c r="J4605" t="s">
        <v>36</v>
      </c>
      <c r="K4605" t="s">
        <v>20</v>
      </c>
      <c r="L4605" t="s">
        <v>10825</v>
      </c>
      <c r="M4605" s="3" t="str">
        <f>HYPERLINK("..\..\Imagery\ScannedPhotos\1987\CG87-480.4.jpg")</f>
        <v>..\..\Imagery\ScannedPhotos\1987\CG87-480.4.jpg</v>
      </c>
    </row>
    <row r="4606" spans="1:13" x14ac:dyDescent="0.25">
      <c r="A4606" t="s">
        <v>10826</v>
      </c>
      <c r="B4606">
        <v>388325</v>
      </c>
      <c r="C4606">
        <v>5987629</v>
      </c>
      <c r="D4606">
        <v>21</v>
      </c>
      <c r="E4606" t="s">
        <v>15</v>
      </c>
      <c r="F4606" t="s">
        <v>10827</v>
      </c>
      <c r="G4606">
        <v>1</v>
      </c>
      <c r="H4606" t="s">
        <v>4559</v>
      </c>
      <c r="I4606" t="s">
        <v>69</v>
      </c>
      <c r="J4606" t="s">
        <v>4560</v>
      </c>
      <c r="K4606" t="s">
        <v>20</v>
      </c>
      <c r="L4606" t="s">
        <v>10828</v>
      </c>
      <c r="M4606" s="3" t="str">
        <f>HYPERLINK("..\..\Imagery\ScannedPhotos\1980\NN80-273.jpg")</f>
        <v>..\..\Imagery\ScannedPhotos\1980\NN80-273.jpg</v>
      </c>
    </row>
    <row r="4607" spans="1:13" x14ac:dyDescent="0.25">
      <c r="A4607" t="s">
        <v>10829</v>
      </c>
      <c r="B4607">
        <v>387990</v>
      </c>
      <c r="C4607">
        <v>5987585</v>
      </c>
      <c r="D4607">
        <v>21</v>
      </c>
      <c r="E4607" t="s">
        <v>15</v>
      </c>
      <c r="F4607" t="s">
        <v>10830</v>
      </c>
      <c r="G4607">
        <v>6</v>
      </c>
      <c r="H4607" t="s">
        <v>4559</v>
      </c>
      <c r="I4607" t="s">
        <v>41</v>
      </c>
      <c r="J4607" t="s">
        <v>4560</v>
      </c>
      <c r="K4607" t="s">
        <v>20</v>
      </c>
      <c r="L4607" t="s">
        <v>10831</v>
      </c>
      <c r="M4607" s="3" t="str">
        <f>HYPERLINK("..\..\Imagery\ScannedPhotos\1980\NN80-274.6.jpg")</f>
        <v>..\..\Imagery\ScannedPhotos\1980\NN80-274.6.jpg</v>
      </c>
    </row>
    <row r="4608" spans="1:13" x14ac:dyDescent="0.25">
      <c r="A4608" t="s">
        <v>10829</v>
      </c>
      <c r="B4608">
        <v>387990</v>
      </c>
      <c r="C4608">
        <v>5987585</v>
      </c>
      <c r="D4608">
        <v>21</v>
      </c>
      <c r="E4608" t="s">
        <v>15</v>
      </c>
      <c r="F4608" t="s">
        <v>10832</v>
      </c>
      <c r="G4608">
        <v>6</v>
      </c>
      <c r="H4608" t="s">
        <v>4559</v>
      </c>
      <c r="I4608" t="s">
        <v>74</v>
      </c>
      <c r="J4608" t="s">
        <v>4560</v>
      </c>
      <c r="K4608" t="s">
        <v>20</v>
      </c>
      <c r="L4608" t="s">
        <v>10828</v>
      </c>
      <c r="M4608" s="3" t="str">
        <f>HYPERLINK("..\..\Imagery\ScannedPhotos\1980\NN80-274.5.jpg")</f>
        <v>..\..\Imagery\ScannedPhotos\1980\NN80-274.5.jpg</v>
      </c>
    </row>
    <row r="4609" spans="1:13" x14ac:dyDescent="0.25">
      <c r="A4609" t="s">
        <v>10829</v>
      </c>
      <c r="B4609">
        <v>387990</v>
      </c>
      <c r="C4609">
        <v>5987585</v>
      </c>
      <c r="D4609">
        <v>21</v>
      </c>
      <c r="E4609" t="s">
        <v>15</v>
      </c>
      <c r="F4609" t="s">
        <v>10833</v>
      </c>
      <c r="G4609">
        <v>6</v>
      </c>
      <c r="H4609" t="s">
        <v>806</v>
      </c>
      <c r="I4609" t="s">
        <v>74</v>
      </c>
      <c r="J4609" t="s">
        <v>807</v>
      </c>
      <c r="K4609" t="s">
        <v>20</v>
      </c>
      <c r="L4609" t="s">
        <v>10828</v>
      </c>
      <c r="M4609" s="3" t="str">
        <f>HYPERLINK("..\..\Imagery\ScannedPhotos\1980\NN80-274.2.jpg")</f>
        <v>..\..\Imagery\ScannedPhotos\1980\NN80-274.2.jpg</v>
      </c>
    </row>
    <row r="4610" spans="1:13" x14ac:dyDescent="0.25">
      <c r="A4610" t="s">
        <v>10829</v>
      </c>
      <c r="B4610">
        <v>387990</v>
      </c>
      <c r="C4610">
        <v>5987585</v>
      </c>
      <c r="D4610">
        <v>21</v>
      </c>
      <c r="E4610" t="s">
        <v>15</v>
      </c>
      <c r="F4610" t="s">
        <v>10834</v>
      </c>
      <c r="G4610">
        <v>6</v>
      </c>
      <c r="H4610" t="s">
        <v>806</v>
      </c>
      <c r="I4610" t="s">
        <v>41</v>
      </c>
      <c r="J4610" t="s">
        <v>807</v>
      </c>
      <c r="K4610" t="s">
        <v>20</v>
      </c>
      <c r="L4610" t="s">
        <v>10828</v>
      </c>
      <c r="M4610" s="3" t="str">
        <f>HYPERLINK("..\..\Imagery\ScannedPhotos\1980\NN80-274.3.jpg")</f>
        <v>..\..\Imagery\ScannedPhotos\1980\NN80-274.3.jpg</v>
      </c>
    </row>
    <row r="4611" spans="1:13" x14ac:dyDescent="0.25">
      <c r="A4611" t="s">
        <v>6057</v>
      </c>
      <c r="B4611">
        <v>404232</v>
      </c>
      <c r="C4611">
        <v>6000130</v>
      </c>
      <c r="D4611">
        <v>21</v>
      </c>
      <c r="E4611" t="s">
        <v>15</v>
      </c>
      <c r="F4611" t="s">
        <v>10835</v>
      </c>
      <c r="G4611">
        <v>7</v>
      </c>
      <c r="H4611" t="s">
        <v>1156</v>
      </c>
      <c r="I4611" t="s">
        <v>79</v>
      </c>
      <c r="J4611" t="s">
        <v>95</v>
      </c>
      <c r="K4611" t="s">
        <v>20</v>
      </c>
      <c r="L4611" t="s">
        <v>10836</v>
      </c>
      <c r="M4611" s="3" t="str">
        <f>HYPERLINK("..\..\Imagery\ScannedPhotos\1980\CG80-113.3.jpg")</f>
        <v>..\..\Imagery\ScannedPhotos\1980\CG80-113.3.jpg</v>
      </c>
    </row>
    <row r="4612" spans="1:13" x14ac:dyDescent="0.25">
      <c r="A4612" t="s">
        <v>10837</v>
      </c>
      <c r="B4612">
        <v>402988</v>
      </c>
      <c r="C4612">
        <v>5999660</v>
      </c>
      <c r="D4612">
        <v>21</v>
      </c>
      <c r="E4612" t="s">
        <v>15</v>
      </c>
      <c r="F4612" t="s">
        <v>10838</v>
      </c>
      <c r="G4612">
        <v>1</v>
      </c>
      <c r="H4612" t="s">
        <v>1156</v>
      </c>
      <c r="I4612" t="s">
        <v>69</v>
      </c>
      <c r="J4612" t="s">
        <v>95</v>
      </c>
      <c r="K4612" t="s">
        <v>56</v>
      </c>
      <c r="L4612" t="s">
        <v>10839</v>
      </c>
      <c r="M4612" s="3" t="str">
        <f>HYPERLINK("..\..\Imagery\ScannedPhotos\1980\CG80-115.jpg")</f>
        <v>..\..\Imagery\ScannedPhotos\1980\CG80-115.jpg</v>
      </c>
    </row>
    <row r="4613" spans="1:13" x14ac:dyDescent="0.25">
      <c r="A4613" t="s">
        <v>10840</v>
      </c>
      <c r="B4613">
        <v>542156</v>
      </c>
      <c r="C4613">
        <v>5812851</v>
      </c>
      <c r="D4613">
        <v>21</v>
      </c>
      <c r="E4613" t="s">
        <v>15</v>
      </c>
      <c r="F4613" t="s">
        <v>10841</v>
      </c>
      <c r="G4613">
        <v>1</v>
      </c>
      <c r="H4613" t="s">
        <v>2099</v>
      </c>
      <c r="J4613" t="s">
        <v>48</v>
      </c>
      <c r="K4613" t="s">
        <v>56</v>
      </c>
      <c r="L4613" t="s">
        <v>915</v>
      </c>
      <c r="M4613" s="3" t="str">
        <f>HYPERLINK("..\..\Imagery\ScannedPhotos\1987\CG87-312.jpg")</f>
        <v>..\..\Imagery\ScannedPhotos\1987\CG87-312.jpg</v>
      </c>
    </row>
    <row r="4614" spans="1:13" x14ac:dyDescent="0.25">
      <c r="A4614" t="s">
        <v>6099</v>
      </c>
      <c r="B4614">
        <v>468343</v>
      </c>
      <c r="C4614">
        <v>5910377</v>
      </c>
      <c r="D4614">
        <v>21</v>
      </c>
      <c r="E4614" t="s">
        <v>15</v>
      </c>
      <c r="F4614" t="s">
        <v>10842</v>
      </c>
      <c r="G4614">
        <v>6</v>
      </c>
      <c r="H4614" t="s">
        <v>3982</v>
      </c>
      <c r="I4614" t="s">
        <v>222</v>
      </c>
      <c r="J4614" t="s">
        <v>2247</v>
      </c>
      <c r="K4614" t="s">
        <v>20</v>
      </c>
      <c r="L4614" t="s">
        <v>10843</v>
      </c>
      <c r="M4614" s="3" t="str">
        <f>HYPERLINK("..\..\Imagery\ScannedPhotos\1984\CG84-147.4.jpg")</f>
        <v>..\..\Imagery\ScannedPhotos\1984\CG84-147.4.jpg</v>
      </c>
    </row>
    <row r="4615" spans="1:13" x14ac:dyDescent="0.25">
      <c r="A4615" t="s">
        <v>10844</v>
      </c>
      <c r="B4615">
        <v>499000</v>
      </c>
      <c r="C4615">
        <v>5831400</v>
      </c>
      <c r="D4615">
        <v>21</v>
      </c>
      <c r="E4615" t="s">
        <v>15</v>
      </c>
      <c r="F4615" t="s">
        <v>10845</v>
      </c>
      <c r="G4615">
        <v>1</v>
      </c>
      <c r="H4615" t="s">
        <v>1712</v>
      </c>
      <c r="I4615" t="s">
        <v>122</v>
      </c>
      <c r="J4615" t="s">
        <v>1713</v>
      </c>
      <c r="K4615" t="s">
        <v>20</v>
      </c>
      <c r="L4615" t="s">
        <v>3459</v>
      </c>
      <c r="M4615" s="3" t="str">
        <f>HYPERLINK("..\..\Imagery\ScannedPhotos\1991\DE91-115.jpg")</f>
        <v>..\..\Imagery\ScannedPhotos\1991\DE91-115.jpg</v>
      </c>
    </row>
    <row r="4616" spans="1:13" x14ac:dyDescent="0.25">
      <c r="A4616" t="s">
        <v>10846</v>
      </c>
      <c r="B4616">
        <v>498011</v>
      </c>
      <c r="C4616">
        <v>5715000</v>
      </c>
      <c r="D4616">
        <v>21</v>
      </c>
      <c r="E4616" t="s">
        <v>15</v>
      </c>
      <c r="F4616" t="s">
        <v>10847</v>
      </c>
      <c r="G4616">
        <v>1</v>
      </c>
      <c r="H4616" t="s">
        <v>1737</v>
      </c>
      <c r="I4616" t="s">
        <v>119</v>
      </c>
      <c r="J4616" t="s">
        <v>1738</v>
      </c>
      <c r="K4616" t="s">
        <v>56</v>
      </c>
      <c r="L4616" t="s">
        <v>6601</v>
      </c>
      <c r="M4616" s="3" t="str">
        <f>HYPERLINK("..\..\Imagery\ScannedPhotos\1993\DL93-063.jpg")</f>
        <v>..\..\Imagery\ScannedPhotos\1993\DL93-063.jpg</v>
      </c>
    </row>
    <row r="4617" spans="1:13" x14ac:dyDescent="0.25">
      <c r="A4617" t="s">
        <v>10848</v>
      </c>
      <c r="B4617">
        <v>530347</v>
      </c>
      <c r="C4617">
        <v>5756845</v>
      </c>
      <c r="D4617">
        <v>21</v>
      </c>
      <c r="E4617" t="s">
        <v>15</v>
      </c>
      <c r="F4617" t="s">
        <v>10849</v>
      </c>
      <c r="G4617">
        <v>1</v>
      </c>
      <c r="H4617" t="s">
        <v>2816</v>
      </c>
      <c r="I4617" t="s">
        <v>281</v>
      </c>
      <c r="J4617" t="s">
        <v>1514</v>
      </c>
      <c r="K4617" t="s">
        <v>20</v>
      </c>
      <c r="L4617" t="s">
        <v>10850</v>
      </c>
      <c r="M4617" s="3" t="str">
        <f>HYPERLINK("..\..\Imagery\ScannedPhotos\1993\DL93-262.jpg")</f>
        <v>..\..\Imagery\ScannedPhotos\1993\DL93-262.jpg</v>
      </c>
    </row>
    <row r="4618" spans="1:13" x14ac:dyDescent="0.25">
      <c r="A4618" t="s">
        <v>10851</v>
      </c>
      <c r="B4618">
        <v>546842</v>
      </c>
      <c r="C4618">
        <v>5749491</v>
      </c>
      <c r="D4618">
        <v>21</v>
      </c>
      <c r="E4618" t="s">
        <v>15</v>
      </c>
      <c r="F4618" t="s">
        <v>10852</v>
      </c>
      <c r="G4618">
        <v>1</v>
      </c>
      <c r="H4618" t="s">
        <v>2816</v>
      </c>
      <c r="I4618" t="s">
        <v>35</v>
      </c>
      <c r="J4618" t="s">
        <v>1514</v>
      </c>
      <c r="K4618" t="s">
        <v>20</v>
      </c>
      <c r="L4618" t="s">
        <v>10853</v>
      </c>
      <c r="M4618" s="3" t="str">
        <f>HYPERLINK("..\..\Imagery\ScannedPhotos\1993\DL93-277.jpg")</f>
        <v>..\..\Imagery\ScannedPhotos\1993\DL93-277.jpg</v>
      </c>
    </row>
    <row r="4619" spans="1:13" x14ac:dyDescent="0.25">
      <c r="A4619" t="s">
        <v>8494</v>
      </c>
      <c r="B4619">
        <v>388195</v>
      </c>
      <c r="C4619">
        <v>5911727</v>
      </c>
      <c r="D4619">
        <v>21</v>
      </c>
      <c r="E4619" t="s">
        <v>15</v>
      </c>
      <c r="F4619" t="s">
        <v>10854</v>
      </c>
      <c r="G4619">
        <v>4</v>
      </c>
      <c r="H4619" t="s">
        <v>1826</v>
      </c>
      <c r="I4619" t="s">
        <v>375</v>
      </c>
      <c r="J4619" t="s">
        <v>557</v>
      </c>
      <c r="K4619" t="s">
        <v>20</v>
      </c>
      <c r="L4619" t="s">
        <v>8499</v>
      </c>
      <c r="M4619" s="3" t="str">
        <f>HYPERLINK("..\..\Imagery\ScannedPhotos\1995\CG95-159.1.jpg")</f>
        <v>..\..\Imagery\ScannedPhotos\1995\CG95-159.1.jpg</v>
      </c>
    </row>
    <row r="4620" spans="1:13" x14ac:dyDescent="0.25">
      <c r="A4620" t="s">
        <v>7815</v>
      </c>
      <c r="B4620">
        <v>389688</v>
      </c>
      <c r="C4620">
        <v>5911086</v>
      </c>
      <c r="D4620">
        <v>21</v>
      </c>
      <c r="E4620" t="s">
        <v>15</v>
      </c>
      <c r="F4620" t="s">
        <v>10855</v>
      </c>
      <c r="G4620">
        <v>4</v>
      </c>
      <c r="H4620" t="s">
        <v>1826</v>
      </c>
      <c r="I4620" t="s">
        <v>222</v>
      </c>
      <c r="J4620" t="s">
        <v>557</v>
      </c>
      <c r="K4620" t="s">
        <v>20</v>
      </c>
      <c r="L4620" t="s">
        <v>7817</v>
      </c>
      <c r="M4620" s="3" t="str">
        <f>HYPERLINK("..\..\Imagery\ScannedPhotos\1995\CG95-161.3.jpg")</f>
        <v>..\..\Imagery\ScannedPhotos\1995\CG95-161.3.jpg</v>
      </c>
    </row>
    <row r="4621" spans="1:13" x14ac:dyDescent="0.25">
      <c r="A4621" t="s">
        <v>3733</v>
      </c>
      <c r="B4621">
        <v>488204</v>
      </c>
      <c r="C4621">
        <v>5790270</v>
      </c>
      <c r="D4621">
        <v>21</v>
      </c>
      <c r="E4621" t="s">
        <v>15</v>
      </c>
      <c r="F4621" t="s">
        <v>10856</v>
      </c>
      <c r="G4621">
        <v>3</v>
      </c>
      <c r="H4621" t="s">
        <v>2340</v>
      </c>
      <c r="I4621" t="s">
        <v>35</v>
      </c>
      <c r="J4621" t="s">
        <v>2341</v>
      </c>
      <c r="K4621" t="s">
        <v>20</v>
      </c>
      <c r="L4621" t="s">
        <v>3737</v>
      </c>
      <c r="M4621" s="3" t="str">
        <f>HYPERLINK("..\..\Imagery\ScannedPhotos\1992\HP92-032.1.jpg")</f>
        <v>..\..\Imagery\ScannedPhotos\1992\HP92-032.1.jpg</v>
      </c>
    </row>
    <row r="4622" spans="1:13" x14ac:dyDescent="0.25">
      <c r="A4622" t="s">
        <v>10857</v>
      </c>
      <c r="B4622">
        <v>488097</v>
      </c>
      <c r="C4622">
        <v>5790087</v>
      </c>
      <c r="D4622">
        <v>21</v>
      </c>
      <c r="E4622" t="s">
        <v>15</v>
      </c>
      <c r="F4622" t="s">
        <v>10858</v>
      </c>
      <c r="G4622">
        <v>1</v>
      </c>
      <c r="H4622" t="s">
        <v>2340</v>
      </c>
      <c r="I4622" t="s">
        <v>41</v>
      </c>
      <c r="J4622" t="s">
        <v>2341</v>
      </c>
      <c r="K4622" t="s">
        <v>56</v>
      </c>
      <c r="L4622" t="s">
        <v>10859</v>
      </c>
      <c r="M4622" s="3" t="str">
        <f>HYPERLINK("..\..\Imagery\ScannedPhotos\1992\HP92-033.jpg")</f>
        <v>..\..\Imagery\ScannedPhotos\1992\HP92-033.jpg</v>
      </c>
    </row>
    <row r="4623" spans="1:13" x14ac:dyDescent="0.25">
      <c r="A4623" t="s">
        <v>10860</v>
      </c>
      <c r="B4623">
        <v>488700</v>
      </c>
      <c r="C4623">
        <v>5788068</v>
      </c>
      <c r="D4623">
        <v>21</v>
      </c>
      <c r="E4623" t="s">
        <v>15</v>
      </c>
      <c r="F4623" t="s">
        <v>10861</v>
      </c>
      <c r="G4623">
        <v>1</v>
      </c>
      <c r="H4623" t="s">
        <v>2340</v>
      </c>
      <c r="I4623" t="s">
        <v>85</v>
      </c>
      <c r="J4623" t="s">
        <v>2341</v>
      </c>
      <c r="K4623" t="s">
        <v>20</v>
      </c>
      <c r="L4623" t="s">
        <v>10862</v>
      </c>
      <c r="M4623" s="3" t="str">
        <f>HYPERLINK("..\..\Imagery\ScannedPhotos\1992\HP92-037.jpg")</f>
        <v>..\..\Imagery\ScannedPhotos\1992\HP92-037.jpg</v>
      </c>
    </row>
    <row r="4624" spans="1:13" x14ac:dyDescent="0.25">
      <c r="A4624" t="s">
        <v>10863</v>
      </c>
      <c r="B4624">
        <v>484678</v>
      </c>
      <c r="C4624">
        <v>5804660</v>
      </c>
      <c r="D4624">
        <v>21</v>
      </c>
      <c r="E4624" t="s">
        <v>15</v>
      </c>
      <c r="F4624" t="s">
        <v>10864</v>
      </c>
      <c r="G4624">
        <v>2</v>
      </c>
      <c r="H4624" t="s">
        <v>2340</v>
      </c>
      <c r="I4624" t="s">
        <v>375</v>
      </c>
      <c r="J4624" t="s">
        <v>2341</v>
      </c>
      <c r="K4624" t="s">
        <v>56</v>
      </c>
      <c r="L4624" t="s">
        <v>10865</v>
      </c>
      <c r="M4624" s="3" t="str">
        <f>HYPERLINK("..\..\Imagery\ScannedPhotos\1992\HP92-044.1.jpg")</f>
        <v>..\..\Imagery\ScannedPhotos\1992\HP92-044.1.jpg</v>
      </c>
    </row>
    <row r="4625" spans="1:13" x14ac:dyDescent="0.25">
      <c r="A4625" t="s">
        <v>10863</v>
      </c>
      <c r="B4625">
        <v>484678</v>
      </c>
      <c r="C4625">
        <v>5804660</v>
      </c>
      <c r="D4625">
        <v>21</v>
      </c>
      <c r="E4625" t="s">
        <v>15</v>
      </c>
      <c r="F4625" t="s">
        <v>10866</v>
      </c>
      <c r="G4625">
        <v>2</v>
      </c>
      <c r="H4625" t="s">
        <v>2340</v>
      </c>
      <c r="I4625" t="s">
        <v>94</v>
      </c>
      <c r="J4625" t="s">
        <v>2341</v>
      </c>
      <c r="K4625" t="s">
        <v>56</v>
      </c>
      <c r="L4625" t="s">
        <v>4646</v>
      </c>
      <c r="M4625" s="3" t="str">
        <f>HYPERLINK("..\..\Imagery\ScannedPhotos\1992\HP92-044.2.jpg")</f>
        <v>..\..\Imagery\ScannedPhotos\1992\HP92-044.2.jpg</v>
      </c>
    </row>
    <row r="4626" spans="1:13" x14ac:dyDescent="0.25">
      <c r="A4626" t="s">
        <v>10867</v>
      </c>
      <c r="B4626">
        <v>434890</v>
      </c>
      <c r="C4626">
        <v>5794395</v>
      </c>
      <c r="D4626">
        <v>21</v>
      </c>
      <c r="E4626" t="s">
        <v>15</v>
      </c>
      <c r="F4626" t="s">
        <v>10868</v>
      </c>
      <c r="G4626">
        <v>2</v>
      </c>
      <c r="H4626" t="s">
        <v>2340</v>
      </c>
      <c r="I4626" t="s">
        <v>52</v>
      </c>
      <c r="J4626" t="s">
        <v>2341</v>
      </c>
      <c r="K4626" t="s">
        <v>56</v>
      </c>
      <c r="L4626" t="s">
        <v>6604</v>
      </c>
      <c r="M4626" s="3" t="str">
        <f>HYPERLINK("..\..\Imagery\ScannedPhotos\1992\HP92-128.1.jpg")</f>
        <v>..\..\Imagery\ScannedPhotos\1992\HP92-128.1.jpg</v>
      </c>
    </row>
    <row r="4627" spans="1:13" x14ac:dyDescent="0.25">
      <c r="A4627" t="s">
        <v>2141</v>
      </c>
      <c r="B4627">
        <v>545790</v>
      </c>
      <c r="C4627">
        <v>5736000</v>
      </c>
      <c r="D4627">
        <v>21</v>
      </c>
      <c r="E4627" t="s">
        <v>15</v>
      </c>
      <c r="F4627" t="s">
        <v>10869</v>
      </c>
      <c r="G4627">
        <v>2</v>
      </c>
      <c r="H4627" t="s">
        <v>1076</v>
      </c>
      <c r="I4627" t="s">
        <v>108</v>
      </c>
      <c r="J4627" t="s">
        <v>570</v>
      </c>
      <c r="K4627" t="s">
        <v>20</v>
      </c>
      <c r="L4627" t="s">
        <v>10870</v>
      </c>
      <c r="M4627" s="3" t="str">
        <f>HYPERLINK("..\..\Imagery\ScannedPhotos\1993\CG93-297.2.jpg")</f>
        <v>..\..\Imagery\ScannedPhotos\1993\CG93-297.2.jpg</v>
      </c>
    </row>
    <row r="4628" spans="1:13" x14ac:dyDescent="0.25">
      <c r="A4628" t="s">
        <v>10871</v>
      </c>
      <c r="B4628">
        <v>546160</v>
      </c>
      <c r="C4628">
        <v>5736000</v>
      </c>
      <c r="D4628">
        <v>21</v>
      </c>
      <c r="E4628" t="s">
        <v>15</v>
      </c>
      <c r="F4628" t="s">
        <v>10872</v>
      </c>
      <c r="G4628">
        <v>1</v>
      </c>
      <c r="H4628" t="s">
        <v>1076</v>
      </c>
      <c r="I4628" t="s">
        <v>132</v>
      </c>
      <c r="J4628" t="s">
        <v>570</v>
      </c>
      <c r="K4628" t="s">
        <v>20</v>
      </c>
      <c r="L4628" t="s">
        <v>10873</v>
      </c>
      <c r="M4628" s="3" t="str">
        <f>HYPERLINK("..\..\Imagery\ScannedPhotos\1993\CG93-298.jpg")</f>
        <v>..\..\Imagery\ScannedPhotos\1993\CG93-298.jpg</v>
      </c>
    </row>
    <row r="4629" spans="1:13" x14ac:dyDescent="0.25">
      <c r="A4629" t="s">
        <v>2144</v>
      </c>
      <c r="B4629">
        <v>481662</v>
      </c>
      <c r="C4629">
        <v>5824713</v>
      </c>
      <c r="D4629">
        <v>21</v>
      </c>
      <c r="E4629" t="s">
        <v>15</v>
      </c>
      <c r="F4629" t="s">
        <v>10874</v>
      </c>
      <c r="G4629">
        <v>7</v>
      </c>
      <c r="H4629" t="s">
        <v>40</v>
      </c>
      <c r="I4629" t="s">
        <v>304</v>
      </c>
      <c r="J4629" t="s">
        <v>42</v>
      </c>
      <c r="K4629" t="s">
        <v>20</v>
      </c>
      <c r="L4629" t="s">
        <v>322</v>
      </c>
      <c r="M4629" s="3" t="str">
        <f>HYPERLINK("..\..\Imagery\ScannedPhotos\1991\DD91-055.1.jpg")</f>
        <v>..\..\Imagery\ScannedPhotos\1991\DD91-055.1.jpg</v>
      </c>
    </row>
    <row r="4630" spans="1:13" x14ac:dyDescent="0.25">
      <c r="A4630" t="s">
        <v>320</v>
      </c>
      <c r="B4630">
        <v>481000</v>
      </c>
      <c r="C4630">
        <v>5824875</v>
      </c>
      <c r="D4630">
        <v>21</v>
      </c>
      <c r="E4630" t="s">
        <v>15</v>
      </c>
      <c r="F4630" t="s">
        <v>10875</v>
      </c>
      <c r="G4630">
        <v>6</v>
      </c>
      <c r="H4630" t="s">
        <v>40</v>
      </c>
      <c r="I4630" t="s">
        <v>132</v>
      </c>
      <c r="J4630" t="s">
        <v>42</v>
      </c>
      <c r="K4630" t="s">
        <v>56</v>
      </c>
      <c r="L4630" t="s">
        <v>10876</v>
      </c>
      <c r="M4630" s="3" t="str">
        <f>HYPERLINK("..\..\Imagery\ScannedPhotos\1991\DD91-056.5.jpg")</f>
        <v>..\..\Imagery\ScannedPhotos\1991\DD91-056.5.jpg</v>
      </c>
    </row>
    <row r="4631" spans="1:13" x14ac:dyDescent="0.25">
      <c r="A4631" t="s">
        <v>320</v>
      </c>
      <c r="B4631">
        <v>481000</v>
      </c>
      <c r="C4631">
        <v>5824875</v>
      </c>
      <c r="D4631">
        <v>21</v>
      </c>
      <c r="E4631" t="s">
        <v>15</v>
      </c>
      <c r="F4631" t="s">
        <v>10877</v>
      </c>
      <c r="G4631">
        <v>6</v>
      </c>
      <c r="H4631" t="s">
        <v>40</v>
      </c>
      <c r="I4631" t="s">
        <v>129</v>
      </c>
      <c r="J4631" t="s">
        <v>42</v>
      </c>
      <c r="K4631" t="s">
        <v>20</v>
      </c>
      <c r="L4631" t="s">
        <v>356</v>
      </c>
      <c r="M4631" s="3" t="str">
        <f>HYPERLINK("..\..\Imagery\ScannedPhotos\1991\DD91-056.6.jpg")</f>
        <v>..\..\Imagery\ScannedPhotos\1991\DD91-056.6.jpg</v>
      </c>
    </row>
    <row r="4632" spans="1:13" x14ac:dyDescent="0.25">
      <c r="A4632" t="s">
        <v>10878</v>
      </c>
      <c r="B4632">
        <v>572576</v>
      </c>
      <c r="C4632">
        <v>5829388</v>
      </c>
      <c r="D4632">
        <v>21</v>
      </c>
      <c r="E4632" t="s">
        <v>15</v>
      </c>
      <c r="F4632" t="s">
        <v>10879</v>
      </c>
      <c r="G4632">
        <v>4</v>
      </c>
      <c r="H4632" t="s">
        <v>3303</v>
      </c>
      <c r="I4632" t="s">
        <v>69</v>
      </c>
      <c r="J4632" t="s">
        <v>300</v>
      </c>
      <c r="K4632" t="s">
        <v>20</v>
      </c>
      <c r="L4632" t="s">
        <v>10880</v>
      </c>
      <c r="M4632" s="3" t="str">
        <f>HYPERLINK("..\..\Imagery\ScannedPhotos\1986\SN86-196.2.jpg")</f>
        <v>..\..\Imagery\ScannedPhotos\1986\SN86-196.2.jpg</v>
      </c>
    </row>
    <row r="4633" spans="1:13" x14ac:dyDescent="0.25">
      <c r="A4633" t="s">
        <v>10878</v>
      </c>
      <c r="B4633">
        <v>572576</v>
      </c>
      <c r="C4633">
        <v>5829388</v>
      </c>
      <c r="D4633">
        <v>21</v>
      </c>
      <c r="E4633" t="s">
        <v>15</v>
      </c>
      <c r="F4633" t="s">
        <v>10881</v>
      </c>
      <c r="G4633">
        <v>4</v>
      </c>
      <c r="H4633" t="s">
        <v>3303</v>
      </c>
      <c r="I4633" t="s">
        <v>74</v>
      </c>
      <c r="J4633" t="s">
        <v>300</v>
      </c>
      <c r="K4633" t="s">
        <v>56</v>
      </c>
      <c r="L4633" t="s">
        <v>10882</v>
      </c>
      <c r="M4633" s="3" t="str">
        <f>HYPERLINK("..\..\Imagery\ScannedPhotos\1986\SN86-196.3.jpg")</f>
        <v>..\..\Imagery\ScannedPhotos\1986\SN86-196.3.jpg</v>
      </c>
    </row>
    <row r="4634" spans="1:13" x14ac:dyDescent="0.25">
      <c r="A4634" t="s">
        <v>10878</v>
      </c>
      <c r="B4634">
        <v>572576</v>
      </c>
      <c r="C4634">
        <v>5829388</v>
      </c>
      <c r="D4634">
        <v>21</v>
      </c>
      <c r="E4634" t="s">
        <v>15</v>
      </c>
      <c r="F4634" t="s">
        <v>10883</v>
      </c>
      <c r="G4634">
        <v>4</v>
      </c>
      <c r="H4634" t="s">
        <v>3303</v>
      </c>
      <c r="I4634" t="s">
        <v>41</v>
      </c>
      <c r="J4634" t="s">
        <v>300</v>
      </c>
      <c r="K4634" t="s">
        <v>56</v>
      </c>
      <c r="L4634" t="s">
        <v>10882</v>
      </c>
      <c r="M4634" s="3" t="str">
        <f>HYPERLINK("..\..\Imagery\ScannedPhotos\1986\SN86-196.4.jpg")</f>
        <v>..\..\Imagery\ScannedPhotos\1986\SN86-196.4.jpg</v>
      </c>
    </row>
    <row r="4635" spans="1:13" x14ac:dyDescent="0.25">
      <c r="A4635" t="s">
        <v>10878</v>
      </c>
      <c r="B4635">
        <v>572576</v>
      </c>
      <c r="C4635">
        <v>5829388</v>
      </c>
      <c r="D4635">
        <v>21</v>
      </c>
      <c r="E4635" t="s">
        <v>15</v>
      </c>
      <c r="F4635" t="s">
        <v>10884</v>
      </c>
      <c r="G4635">
        <v>4</v>
      </c>
      <c r="H4635" t="s">
        <v>3303</v>
      </c>
      <c r="I4635" t="s">
        <v>35</v>
      </c>
      <c r="J4635" t="s">
        <v>300</v>
      </c>
      <c r="K4635" t="s">
        <v>20</v>
      </c>
      <c r="L4635" t="s">
        <v>10885</v>
      </c>
      <c r="M4635" s="3" t="str">
        <f>HYPERLINK("..\..\Imagery\ScannedPhotos\1986\SN86-196.1.jpg")</f>
        <v>..\..\Imagery\ScannedPhotos\1986\SN86-196.1.jpg</v>
      </c>
    </row>
    <row r="4636" spans="1:13" x14ac:dyDescent="0.25">
      <c r="A4636" t="s">
        <v>9811</v>
      </c>
      <c r="B4636">
        <v>468272</v>
      </c>
      <c r="C4636">
        <v>5903962</v>
      </c>
      <c r="D4636">
        <v>21</v>
      </c>
      <c r="E4636" t="s">
        <v>15</v>
      </c>
      <c r="F4636" t="s">
        <v>10886</v>
      </c>
      <c r="G4636">
        <v>6</v>
      </c>
      <c r="H4636" t="s">
        <v>4524</v>
      </c>
      <c r="I4636" t="s">
        <v>375</v>
      </c>
      <c r="J4636" t="s">
        <v>3309</v>
      </c>
      <c r="K4636" t="s">
        <v>20</v>
      </c>
      <c r="L4636" t="s">
        <v>10887</v>
      </c>
      <c r="M4636" s="3" t="str">
        <f>HYPERLINK("..\..\Imagery\ScannedPhotos\1984\VN84-431.1.jpg")</f>
        <v>..\..\Imagery\ScannedPhotos\1984\VN84-431.1.jpg</v>
      </c>
    </row>
    <row r="4637" spans="1:13" x14ac:dyDescent="0.25">
      <c r="A4637" t="s">
        <v>10888</v>
      </c>
      <c r="B4637">
        <v>466709</v>
      </c>
      <c r="C4637">
        <v>5902173</v>
      </c>
      <c r="D4637">
        <v>21</v>
      </c>
      <c r="E4637" t="s">
        <v>15</v>
      </c>
      <c r="F4637" t="s">
        <v>10889</v>
      </c>
      <c r="G4637">
        <v>1</v>
      </c>
      <c r="H4637" t="s">
        <v>2995</v>
      </c>
      <c r="I4637" t="s">
        <v>143</v>
      </c>
      <c r="J4637" t="s">
        <v>156</v>
      </c>
      <c r="K4637" t="s">
        <v>20</v>
      </c>
      <c r="L4637" t="s">
        <v>10890</v>
      </c>
      <c r="M4637" s="3" t="str">
        <f>HYPERLINK("..\..\Imagery\ScannedPhotos\1984\VN84-435.jpg")</f>
        <v>..\..\Imagery\ScannedPhotos\1984\VN84-435.jpg</v>
      </c>
    </row>
    <row r="4638" spans="1:13" x14ac:dyDescent="0.25">
      <c r="A4638" t="s">
        <v>10891</v>
      </c>
      <c r="B4638">
        <v>384367</v>
      </c>
      <c r="C4638">
        <v>5979572</v>
      </c>
      <c r="D4638">
        <v>21</v>
      </c>
      <c r="E4638" t="s">
        <v>15</v>
      </c>
      <c r="F4638" t="s">
        <v>10892</v>
      </c>
      <c r="G4638">
        <v>2</v>
      </c>
      <c r="H4638" t="s">
        <v>1316</v>
      </c>
      <c r="I4638" t="s">
        <v>281</v>
      </c>
      <c r="J4638" t="s">
        <v>978</v>
      </c>
      <c r="K4638" t="s">
        <v>20</v>
      </c>
      <c r="L4638" t="s">
        <v>1020</v>
      </c>
      <c r="M4638" s="3" t="str">
        <f>HYPERLINK("..\..\Imagery\ScannedPhotos\1980\NN80-189.1.jpg")</f>
        <v>..\..\Imagery\ScannedPhotos\1980\NN80-189.1.jpg</v>
      </c>
    </row>
    <row r="4639" spans="1:13" x14ac:dyDescent="0.25">
      <c r="A4639" t="s">
        <v>10893</v>
      </c>
      <c r="B4639">
        <v>385477</v>
      </c>
      <c r="C4639">
        <v>5979961</v>
      </c>
      <c r="D4639">
        <v>21</v>
      </c>
      <c r="E4639" t="s">
        <v>15</v>
      </c>
      <c r="F4639" t="s">
        <v>10894</v>
      </c>
      <c r="G4639">
        <v>1</v>
      </c>
      <c r="H4639" t="s">
        <v>1316</v>
      </c>
      <c r="I4639" t="s">
        <v>18</v>
      </c>
      <c r="J4639" t="s">
        <v>978</v>
      </c>
      <c r="K4639" t="s">
        <v>20</v>
      </c>
      <c r="L4639" t="s">
        <v>10895</v>
      </c>
      <c r="M4639" s="3" t="str">
        <f>HYPERLINK("..\..\Imagery\ScannedPhotos\1980\NN80-192.jpg")</f>
        <v>..\..\Imagery\ScannedPhotos\1980\NN80-192.jpg</v>
      </c>
    </row>
    <row r="4640" spans="1:13" x14ac:dyDescent="0.25">
      <c r="A4640" t="s">
        <v>10896</v>
      </c>
      <c r="B4640">
        <v>374971</v>
      </c>
      <c r="C4640">
        <v>5978428</v>
      </c>
      <c r="D4640">
        <v>21</v>
      </c>
      <c r="E4640" t="s">
        <v>15</v>
      </c>
      <c r="F4640" t="s">
        <v>10897</v>
      </c>
      <c r="G4640">
        <v>1</v>
      </c>
      <c r="H4640" t="s">
        <v>1316</v>
      </c>
      <c r="I4640" t="s">
        <v>35</v>
      </c>
      <c r="J4640" t="s">
        <v>978</v>
      </c>
      <c r="K4640" t="s">
        <v>20</v>
      </c>
      <c r="L4640" t="s">
        <v>10898</v>
      </c>
      <c r="M4640" s="3" t="str">
        <f>HYPERLINK("..\..\Imagery\ScannedPhotos\1980\NN80-197.jpg")</f>
        <v>..\..\Imagery\ScannedPhotos\1980\NN80-197.jpg</v>
      </c>
    </row>
    <row r="4641" spans="1:13" x14ac:dyDescent="0.25">
      <c r="A4641" t="s">
        <v>10899</v>
      </c>
      <c r="B4641">
        <v>374551</v>
      </c>
      <c r="C4641">
        <v>5977927</v>
      </c>
      <c r="D4641">
        <v>21</v>
      </c>
      <c r="E4641" t="s">
        <v>15</v>
      </c>
      <c r="F4641" t="s">
        <v>10900</v>
      </c>
      <c r="G4641">
        <v>1</v>
      </c>
      <c r="H4641" t="s">
        <v>1316</v>
      </c>
      <c r="I4641" t="s">
        <v>69</v>
      </c>
      <c r="J4641" t="s">
        <v>978</v>
      </c>
      <c r="K4641" t="s">
        <v>20</v>
      </c>
      <c r="L4641" t="s">
        <v>10901</v>
      </c>
      <c r="M4641" s="3" t="str">
        <f>HYPERLINK("..\..\Imagery\ScannedPhotos\1980\NN80-200.jpg")</f>
        <v>..\..\Imagery\ScannedPhotos\1980\NN80-200.jpg</v>
      </c>
    </row>
    <row r="4642" spans="1:13" x14ac:dyDescent="0.25">
      <c r="A4642" t="s">
        <v>10902</v>
      </c>
      <c r="B4642">
        <v>374578</v>
      </c>
      <c r="C4642">
        <v>5977714</v>
      </c>
      <c r="D4642">
        <v>21</v>
      </c>
      <c r="E4642" t="s">
        <v>15</v>
      </c>
      <c r="F4642" t="s">
        <v>10903</v>
      </c>
      <c r="G4642">
        <v>1</v>
      </c>
      <c r="H4642" t="s">
        <v>1316</v>
      </c>
      <c r="I4642" t="s">
        <v>74</v>
      </c>
      <c r="J4642" t="s">
        <v>978</v>
      </c>
      <c r="K4642" t="s">
        <v>20</v>
      </c>
      <c r="L4642" t="s">
        <v>10904</v>
      </c>
      <c r="M4642" s="3" t="str">
        <f>HYPERLINK("..\..\Imagery\ScannedPhotos\1980\NN80-201.jpg")</f>
        <v>..\..\Imagery\ScannedPhotos\1980\NN80-201.jpg</v>
      </c>
    </row>
    <row r="4643" spans="1:13" x14ac:dyDescent="0.25">
      <c r="A4643" t="s">
        <v>10905</v>
      </c>
      <c r="B4643">
        <v>581086</v>
      </c>
      <c r="C4643">
        <v>5917241</v>
      </c>
      <c r="D4643">
        <v>21</v>
      </c>
      <c r="E4643" t="s">
        <v>15</v>
      </c>
      <c r="F4643" t="s">
        <v>10906</v>
      </c>
      <c r="G4643">
        <v>3</v>
      </c>
      <c r="H4643" t="s">
        <v>2855</v>
      </c>
      <c r="I4643" t="s">
        <v>214</v>
      </c>
      <c r="J4643" t="s">
        <v>1583</v>
      </c>
      <c r="K4643" t="s">
        <v>20</v>
      </c>
      <c r="L4643" t="s">
        <v>5231</v>
      </c>
      <c r="M4643" s="3" t="str">
        <f>HYPERLINK("..\..\Imagery\ScannedPhotos\1985\CG85-592.1.jpg")</f>
        <v>..\..\Imagery\ScannedPhotos\1985\CG85-592.1.jpg</v>
      </c>
    </row>
    <row r="4644" spans="1:13" x14ac:dyDescent="0.25">
      <c r="A4644" t="s">
        <v>10905</v>
      </c>
      <c r="B4644">
        <v>581086</v>
      </c>
      <c r="C4644">
        <v>5917241</v>
      </c>
      <c r="D4644">
        <v>21</v>
      </c>
      <c r="E4644" t="s">
        <v>15</v>
      </c>
      <c r="F4644" t="s">
        <v>10907</v>
      </c>
      <c r="G4644">
        <v>3</v>
      </c>
      <c r="H4644" t="s">
        <v>2855</v>
      </c>
      <c r="I4644" t="s">
        <v>418</v>
      </c>
      <c r="J4644" t="s">
        <v>1583</v>
      </c>
      <c r="K4644" t="s">
        <v>20</v>
      </c>
      <c r="L4644" t="s">
        <v>10908</v>
      </c>
      <c r="M4644" s="3" t="str">
        <f>HYPERLINK("..\..\Imagery\ScannedPhotos\1985\CG85-592.3.jpg")</f>
        <v>..\..\Imagery\ScannedPhotos\1985\CG85-592.3.jpg</v>
      </c>
    </row>
    <row r="4645" spans="1:13" x14ac:dyDescent="0.25">
      <c r="A4645" t="s">
        <v>10905</v>
      </c>
      <c r="B4645">
        <v>581086</v>
      </c>
      <c r="C4645">
        <v>5917241</v>
      </c>
      <c r="D4645">
        <v>21</v>
      </c>
      <c r="E4645" t="s">
        <v>15</v>
      </c>
      <c r="F4645" t="s">
        <v>10909</v>
      </c>
      <c r="G4645">
        <v>3</v>
      </c>
      <c r="H4645" t="s">
        <v>2855</v>
      </c>
      <c r="I4645" t="s">
        <v>222</v>
      </c>
      <c r="J4645" t="s">
        <v>1583</v>
      </c>
      <c r="K4645" t="s">
        <v>20</v>
      </c>
      <c r="L4645" t="s">
        <v>10910</v>
      </c>
      <c r="M4645" s="3" t="str">
        <f>HYPERLINK("..\..\Imagery\ScannedPhotos\1985\CG85-592.2.jpg")</f>
        <v>..\..\Imagery\ScannedPhotos\1985\CG85-592.2.jpg</v>
      </c>
    </row>
    <row r="4646" spans="1:13" x14ac:dyDescent="0.25">
      <c r="A4646" t="s">
        <v>2097</v>
      </c>
      <c r="B4646">
        <v>538258</v>
      </c>
      <c r="C4646">
        <v>5794495</v>
      </c>
      <c r="D4646">
        <v>21</v>
      </c>
      <c r="E4646" t="s">
        <v>15</v>
      </c>
      <c r="F4646" t="s">
        <v>10911</v>
      </c>
      <c r="G4646">
        <v>5</v>
      </c>
      <c r="H4646" t="s">
        <v>2099</v>
      </c>
      <c r="J4646" t="s">
        <v>48</v>
      </c>
      <c r="K4646" t="s">
        <v>20</v>
      </c>
      <c r="L4646" t="s">
        <v>2100</v>
      </c>
      <c r="M4646" s="3" t="str">
        <f>HYPERLINK("..\..\Imagery\ScannedPhotos\1987\CG87-105.3.jpg")</f>
        <v>..\..\Imagery\ScannedPhotos\1987\CG87-105.3.jpg</v>
      </c>
    </row>
    <row r="4647" spans="1:13" x14ac:dyDescent="0.25">
      <c r="A4647" t="s">
        <v>10912</v>
      </c>
      <c r="B4647">
        <v>579035</v>
      </c>
      <c r="C4647">
        <v>5789808</v>
      </c>
      <c r="D4647">
        <v>21</v>
      </c>
      <c r="E4647" t="s">
        <v>15</v>
      </c>
      <c r="F4647" t="s">
        <v>10913</v>
      </c>
      <c r="G4647">
        <v>1</v>
      </c>
      <c r="H4647" t="s">
        <v>308</v>
      </c>
      <c r="I4647" t="s">
        <v>132</v>
      </c>
      <c r="J4647" t="s">
        <v>309</v>
      </c>
      <c r="K4647" t="s">
        <v>20</v>
      </c>
      <c r="L4647" t="s">
        <v>10914</v>
      </c>
      <c r="M4647" s="3" t="str">
        <f>HYPERLINK("..\..\Imagery\ScannedPhotos\1987\VN87-113.jpg")</f>
        <v>..\..\Imagery\ScannedPhotos\1987\VN87-113.jpg</v>
      </c>
    </row>
    <row r="4648" spans="1:13" x14ac:dyDescent="0.25">
      <c r="A4648" t="s">
        <v>6531</v>
      </c>
      <c r="B4648">
        <v>566671</v>
      </c>
      <c r="C4648">
        <v>5789578</v>
      </c>
      <c r="D4648">
        <v>21</v>
      </c>
      <c r="E4648" t="s">
        <v>15</v>
      </c>
      <c r="F4648" t="s">
        <v>10915</v>
      </c>
      <c r="G4648">
        <v>2</v>
      </c>
      <c r="H4648" t="s">
        <v>5918</v>
      </c>
      <c r="I4648" t="s">
        <v>52</v>
      </c>
      <c r="J4648" t="s">
        <v>1619</v>
      </c>
      <c r="K4648" t="s">
        <v>20</v>
      </c>
      <c r="L4648" t="s">
        <v>10916</v>
      </c>
      <c r="M4648" s="3" t="str">
        <f>HYPERLINK("..\..\Imagery\ScannedPhotos\1987\VN87-212.2.jpg")</f>
        <v>..\..\Imagery\ScannedPhotos\1987\VN87-212.2.jpg</v>
      </c>
    </row>
    <row r="4649" spans="1:13" x14ac:dyDescent="0.25">
      <c r="A4649" t="s">
        <v>10917</v>
      </c>
      <c r="B4649">
        <v>503157</v>
      </c>
      <c r="C4649">
        <v>5828906</v>
      </c>
      <c r="D4649">
        <v>21</v>
      </c>
      <c r="E4649" t="s">
        <v>15</v>
      </c>
      <c r="F4649" t="s">
        <v>10918</v>
      </c>
      <c r="G4649">
        <v>1</v>
      </c>
      <c r="H4649" t="s">
        <v>7534</v>
      </c>
      <c r="I4649" t="s">
        <v>35</v>
      </c>
      <c r="J4649" t="s">
        <v>1233</v>
      </c>
      <c r="K4649" t="s">
        <v>20</v>
      </c>
      <c r="L4649" t="s">
        <v>10919</v>
      </c>
      <c r="M4649" s="3" t="str">
        <f>HYPERLINK("..\..\Imagery\ScannedPhotos\1986\CG86-331.jpg")</f>
        <v>..\..\Imagery\ScannedPhotos\1986\CG86-331.jpg</v>
      </c>
    </row>
    <row r="4650" spans="1:13" x14ac:dyDescent="0.25">
      <c r="A4650" t="s">
        <v>10920</v>
      </c>
      <c r="B4650">
        <v>572728</v>
      </c>
      <c r="C4650">
        <v>5871337</v>
      </c>
      <c r="D4650">
        <v>21</v>
      </c>
      <c r="E4650" t="s">
        <v>15</v>
      </c>
      <c r="F4650" t="s">
        <v>10921</v>
      </c>
      <c r="G4650">
        <v>1</v>
      </c>
      <c r="H4650" t="s">
        <v>7534</v>
      </c>
      <c r="I4650" t="s">
        <v>69</v>
      </c>
      <c r="J4650" t="s">
        <v>1233</v>
      </c>
      <c r="K4650" t="s">
        <v>20</v>
      </c>
      <c r="L4650" t="s">
        <v>10922</v>
      </c>
      <c r="M4650" s="3" t="str">
        <f>HYPERLINK("..\..\Imagery\ScannedPhotos\1986\CG86-346.jpg")</f>
        <v>..\..\Imagery\ScannedPhotos\1986\CG86-346.jpg</v>
      </c>
    </row>
    <row r="4651" spans="1:13" x14ac:dyDescent="0.25">
      <c r="A4651" t="s">
        <v>10923</v>
      </c>
      <c r="B4651">
        <v>572966</v>
      </c>
      <c r="C4651">
        <v>5870698</v>
      </c>
      <c r="D4651">
        <v>21</v>
      </c>
      <c r="E4651" t="s">
        <v>15</v>
      </c>
      <c r="F4651" t="s">
        <v>10924</v>
      </c>
      <c r="G4651">
        <v>1</v>
      </c>
      <c r="H4651" t="s">
        <v>7534</v>
      </c>
      <c r="I4651" t="s">
        <v>74</v>
      </c>
      <c r="J4651" t="s">
        <v>1233</v>
      </c>
      <c r="K4651" t="s">
        <v>20</v>
      </c>
      <c r="L4651" t="s">
        <v>10925</v>
      </c>
      <c r="M4651" s="3" t="str">
        <f>HYPERLINK("..\..\Imagery\ScannedPhotos\1986\CG86-348.jpg")</f>
        <v>..\..\Imagery\ScannedPhotos\1986\CG86-348.jpg</v>
      </c>
    </row>
    <row r="4652" spans="1:13" x14ac:dyDescent="0.25">
      <c r="A4652" t="s">
        <v>10926</v>
      </c>
      <c r="B4652">
        <v>561774</v>
      </c>
      <c r="C4652">
        <v>5833616</v>
      </c>
      <c r="D4652">
        <v>21</v>
      </c>
      <c r="E4652" t="s">
        <v>15</v>
      </c>
      <c r="F4652" t="s">
        <v>10927</v>
      </c>
      <c r="G4652">
        <v>1</v>
      </c>
      <c r="H4652" t="s">
        <v>1851</v>
      </c>
      <c r="I4652" t="s">
        <v>222</v>
      </c>
      <c r="J4652" t="s">
        <v>1852</v>
      </c>
      <c r="K4652" t="s">
        <v>20</v>
      </c>
      <c r="L4652" t="s">
        <v>10928</v>
      </c>
      <c r="M4652" s="3" t="str">
        <f>HYPERLINK("..\..\Imagery\ScannedPhotos\1986\MN86-327.jpg")</f>
        <v>..\..\Imagery\ScannedPhotos\1986\MN86-327.jpg</v>
      </c>
    </row>
    <row r="4653" spans="1:13" x14ac:dyDescent="0.25">
      <c r="A4653" t="s">
        <v>6126</v>
      </c>
      <c r="B4653">
        <v>500522</v>
      </c>
      <c r="C4653">
        <v>5950978</v>
      </c>
      <c r="D4653">
        <v>21</v>
      </c>
      <c r="E4653" t="s">
        <v>15</v>
      </c>
      <c r="F4653" t="s">
        <v>10929</v>
      </c>
      <c r="G4653">
        <v>7</v>
      </c>
      <c r="K4653" t="s">
        <v>228</v>
      </c>
      <c r="L4653" t="s">
        <v>6128</v>
      </c>
      <c r="M4653" s="3" t="str">
        <f>HYPERLINK("..\..\Imagery\ScannedPhotos\2004\CG04-278.6.jpg")</f>
        <v>..\..\Imagery\ScannedPhotos\2004\CG04-278.6.jpg</v>
      </c>
    </row>
    <row r="4654" spans="1:13" x14ac:dyDescent="0.25">
      <c r="A4654" t="s">
        <v>10829</v>
      </c>
      <c r="B4654">
        <v>387990</v>
      </c>
      <c r="C4654">
        <v>5987585</v>
      </c>
      <c r="D4654">
        <v>21</v>
      </c>
      <c r="E4654" t="s">
        <v>15</v>
      </c>
      <c r="F4654" t="s">
        <v>10930</v>
      </c>
      <c r="G4654">
        <v>6</v>
      </c>
      <c r="H4654" t="s">
        <v>806</v>
      </c>
      <c r="I4654" t="s">
        <v>69</v>
      </c>
      <c r="J4654" t="s">
        <v>807</v>
      </c>
      <c r="K4654" t="s">
        <v>20</v>
      </c>
      <c r="L4654" t="s">
        <v>10828</v>
      </c>
      <c r="M4654" s="3" t="str">
        <f>HYPERLINK("..\..\Imagery\ScannedPhotos\1980\NN80-274.1.jpg")</f>
        <v>..\..\Imagery\ScannedPhotos\1980\NN80-274.1.jpg</v>
      </c>
    </row>
    <row r="4655" spans="1:13" x14ac:dyDescent="0.25">
      <c r="A4655" t="s">
        <v>10931</v>
      </c>
      <c r="B4655">
        <v>387844</v>
      </c>
      <c r="C4655">
        <v>5987676</v>
      </c>
      <c r="D4655">
        <v>21</v>
      </c>
      <c r="E4655" t="s">
        <v>15</v>
      </c>
      <c r="F4655" t="s">
        <v>10932</v>
      </c>
      <c r="G4655">
        <v>2</v>
      </c>
      <c r="H4655" t="s">
        <v>4559</v>
      </c>
      <c r="I4655" t="s">
        <v>85</v>
      </c>
      <c r="J4655" t="s">
        <v>4560</v>
      </c>
      <c r="K4655" t="s">
        <v>20</v>
      </c>
      <c r="L4655" t="s">
        <v>10933</v>
      </c>
      <c r="M4655" s="3" t="str">
        <f>HYPERLINK("..\..\Imagery\ScannedPhotos\1980\NN80-275.1.jpg")</f>
        <v>..\..\Imagery\ScannedPhotos\1980\NN80-275.1.jpg</v>
      </c>
    </row>
    <row r="4656" spans="1:13" x14ac:dyDescent="0.25">
      <c r="A4656" t="s">
        <v>10931</v>
      </c>
      <c r="B4656">
        <v>387844</v>
      </c>
      <c r="C4656">
        <v>5987676</v>
      </c>
      <c r="D4656">
        <v>21</v>
      </c>
      <c r="E4656" t="s">
        <v>15</v>
      </c>
      <c r="F4656" t="s">
        <v>10934</v>
      </c>
      <c r="G4656">
        <v>2</v>
      </c>
      <c r="H4656" t="s">
        <v>4559</v>
      </c>
      <c r="I4656" t="s">
        <v>375</v>
      </c>
      <c r="J4656" t="s">
        <v>4560</v>
      </c>
      <c r="K4656" t="s">
        <v>20</v>
      </c>
      <c r="L4656" t="s">
        <v>10933</v>
      </c>
      <c r="M4656" s="3" t="str">
        <f>HYPERLINK("..\..\Imagery\ScannedPhotos\1980\NN80-275.2.jpg")</f>
        <v>..\..\Imagery\ScannedPhotos\1980\NN80-275.2.jpg</v>
      </c>
    </row>
    <row r="4657" spans="1:13" x14ac:dyDescent="0.25">
      <c r="A4657" t="s">
        <v>7072</v>
      </c>
      <c r="B4657">
        <v>373169</v>
      </c>
      <c r="C4657">
        <v>5985247</v>
      </c>
      <c r="D4657">
        <v>21</v>
      </c>
      <c r="E4657" t="s">
        <v>15</v>
      </c>
      <c r="F4657" t="s">
        <v>10935</v>
      </c>
      <c r="G4657">
        <v>5</v>
      </c>
      <c r="H4657" t="s">
        <v>4559</v>
      </c>
      <c r="I4657" t="s">
        <v>418</v>
      </c>
      <c r="J4657" t="s">
        <v>4560</v>
      </c>
      <c r="K4657" t="s">
        <v>20</v>
      </c>
      <c r="L4657" t="s">
        <v>7078</v>
      </c>
      <c r="M4657" s="3" t="str">
        <f>HYPERLINK("..\..\Imagery\ScannedPhotos\1980\NN80-286.4.jpg")</f>
        <v>..\..\Imagery\ScannedPhotos\1980\NN80-286.4.jpg</v>
      </c>
    </row>
    <row r="4658" spans="1:13" x14ac:dyDescent="0.25">
      <c r="A4658" t="s">
        <v>2144</v>
      </c>
      <c r="B4658">
        <v>481662</v>
      </c>
      <c r="C4658">
        <v>5824713</v>
      </c>
      <c r="D4658">
        <v>21</v>
      </c>
      <c r="E4658" t="s">
        <v>15</v>
      </c>
      <c r="F4658" t="s">
        <v>10936</v>
      </c>
      <c r="G4658">
        <v>7</v>
      </c>
      <c r="H4658" t="s">
        <v>40</v>
      </c>
      <c r="I4658" t="s">
        <v>195</v>
      </c>
      <c r="J4658" t="s">
        <v>42</v>
      </c>
      <c r="K4658" t="s">
        <v>20</v>
      </c>
      <c r="L4658" t="s">
        <v>322</v>
      </c>
      <c r="M4658" s="3" t="str">
        <f>HYPERLINK("..\..\Imagery\ScannedPhotos\1991\DD91-055.2.jpg")</f>
        <v>..\..\Imagery\ScannedPhotos\1991\DD91-055.2.jpg</v>
      </c>
    </row>
    <row r="4659" spans="1:13" x14ac:dyDescent="0.25">
      <c r="A4659" t="s">
        <v>10937</v>
      </c>
      <c r="B4659">
        <v>581704</v>
      </c>
      <c r="C4659">
        <v>5822828</v>
      </c>
      <c r="D4659">
        <v>21</v>
      </c>
      <c r="E4659" t="s">
        <v>15</v>
      </c>
      <c r="F4659" t="s">
        <v>10938</v>
      </c>
      <c r="G4659">
        <v>1</v>
      </c>
      <c r="H4659" t="s">
        <v>3252</v>
      </c>
      <c r="I4659" t="s">
        <v>126</v>
      </c>
      <c r="J4659" t="s">
        <v>100</v>
      </c>
      <c r="K4659" t="s">
        <v>20</v>
      </c>
      <c r="L4659" t="s">
        <v>10939</v>
      </c>
      <c r="M4659" s="3" t="str">
        <f>HYPERLINK("..\..\Imagery\ScannedPhotos\1986\SN86-400.jpg")</f>
        <v>..\..\Imagery\ScannedPhotos\1986\SN86-400.jpg</v>
      </c>
    </row>
    <row r="4660" spans="1:13" x14ac:dyDescent="0.25">
      <c r="A4660" t="s">
        <v>10940</v>
      </c>
      <c r="B4660">
        <v>581916</v>
      </c>
      <c r="C4660">
        <v>5822353</v>
      </c>
      <c r="D4660">
        <v>21</v>
      </c>
      <c r="E4660" t="s">
        <v>15</v>
      </c>
      <c r="F4660" t="s">
        <v>10941</v>
      </c>
      <c r="G4660">
        <v>1</v>
      </c>
      <c r="H4660" t="s">
        <v>3252</v>
      </c>
      <c r="I4660" t="s">
        <v>401</v>
      </c>
      <c r="J4660" t="s">
        <v>100</v>
      </c>
      <c r="K4660" t="s">
        <v>20</v>
      </c>
      <c r="L4660" t="s">
        <v>10942</v>
      </c>
      <c r="M4660" s="3" t="str">
        <f>HYPERLINK("..\..\Imagery\ScannedPhotos\1986\SN86-401.jpg")</f>
        <v>..\..\Imagery\ScannedPhotos\1986\SN86-401.jpg</v>
      </c>
    </row>
    <row r="4661" spans="1:13" x14ac:dyDescent="0.25">
      <c r="A4661" t="s">
        <v>10943</v>
      </c>
      <c r="B4661">
        <v>583251</v>
      </c>
      <c r="C4661">
        <v>5820616</v>
      </c>
      <c r="D4661">
        <v>21</v>
      </c>
      <c r="E4661" t="s">
        <v>15</v>
      </c>
      <c r="F4661" t="s">
        <v>10944</v>
      </c>
      <c r="G4661">
        <v>3</v>
      </c>
      <c r="H4661" t="s">
        <v>3252</v>
      </c>
      <c r="I4661" t="s">
        <v>409</v>
      </c>
      <c r="J4661" t="s">
        <v>100</v>
      </c>
      <c r="K4661" t="s">
        <v>20</v>
      </c>
      <c r="L4661" t="s">
        <v>10945</v>
      </c>
      <c r="M4661" s="3" t="str">
        <f>HYPERLINK("..\..\Imagery\ScannedPhotos\1986\SN86-404.3.jpg")</f>
        <v>..\..\Imagery\ScannedPhotos\1986\SN86-404.3.jpg</v>
      </c>
    </row>
    <row r="4662" spans="1:13" x14ac:dyDescent="0.25">
      <c r="A4662" t="s">
        <v>10943</v>
      </c>
      <c r="B4662">
        <v>583251</v>
      </c>
      <c r="C4662">
        <v>5820616</v>
      </c>
      <c r="D4662">
        <v>21</v>
      </c>
      <c r="E4662" t="s">
        <v>15</v>
      </c>
      <c r="F4662" t="s">
        <v>10946</v>
      </c>
      <c r="G4662">
        <v>3</v>
      </c>
      <c r="H4662" t="s">
        <v>3201</v>
      </c>
      <c r="I4662" t="s">
        <v>294</v>
      </c>
      <c r="J4662" t="s">
        <v>3202</v>
      </c>
      <c r="K4662" t="s">
        <v>20</v>
      </c>
      <c r="L4662" t="s">
        <v>10947</v>
      </c>
      <c r="M4662" s="3" t="str">
        <f>HYPERLINK("..\..\Imagery\ScannedPhotos\1986\SN86-404.1.jpg")</f>
        <v>..\..\Imagery\ScannedPhotos\1986\SN86-404.1.jpg</v>
      </c>
    </row>
    <row r="4663" spans="1:13" x14ac:dyDescent="0.25">
      <c r="A4663" t="s">
        <v>10943</v>
      </c>
      <c r="B4663">
        <v>583251</v>
      </c>
      <c r="C4663">
        <v>5820616</v>
      </c>
      <c r="D4663">
        <v>21</v>
      </c>
      <c r="E4663" t="s">
        <v>15</v>
      </c>
      <c r="F4663" t="s">
        <v>10948</v>
      </c>
      <c r="G4663">
        <v>3</v>
      </c>
      <c r="H4663" t="s">
        <v>3201</v>
      </c>
      <c r="I4663" t="s">
        <v>79</v>
      </c>
      <c r="J4663" t="s">
        <v>3202</v>
      </c>
      <c r="K4663" t="s">
        <v>20</v>
      </c>
      <c r="L4663" t="s">
        <v>10947</v>
      </c>
      <c r="M4663" s="3" t="str">
        <f>HYPERLINK("..\..\Imagery\ScannedPhotos\1986\SN86-404.2.jpg")</f>
        <v>..\..\Imagery\ScannedPhotos\1986\SN86-404.2.jpg</v>
      </c>
    </row>
    <row r="4664" spans="1:13" x14ac:dyDescent="0.25">
      <c r="A4664" t="s">
        <v>6703</v>
      </c>
      <c r="B4664">
        <v>494374</v>
      </c>
      <c r="C4664">
        <v>5945332</v>
      </c>
      <c r="D4664">
        <v>21</v>
      </c>
      <c r="E4664" t="s">
        <v>15</v>
      </c>
      <c r="F4664" t="s">
        <v>10949</v>
      </c>
      <c r="G4664">
        <v>3</v>
      </c>
      <c r="H4664" t="s">
        <v>443</v>
      </c>
      <c r="I4664" t="s">
        <v>209</v>
      </c>
      <c r="J4664" t="s">
        <v>48</v>
      </c>
      <c r="K4664" t="s">
        <v>20</v>
      </c>
      <c r="L4664" t="s">
        <v>10950</v>
      </c>
      <c r="M4664" s="3" t="str">
        <f>HYPERLINK("..\..\Imagery\ScannedPhotos\1981\CG81-046.1.jpg")</f>
        <v>..\..\Imagery\ScannedPhotos\1981\CG81-046.1.jpg</v>
      </c>
    </row>
    <row r="4665" spans="1:13" x14ac:dyDescent="0.25">
      <c r="A4665" t="s">
        <v>10951</v>
      </c>
      <c r="B4665">
        <v>449613</v>
      </c>
      <c r="C4665">
        <v>6007904</v>
      </c>
      <c r="D4665">
        <v>21</v>
      </c>
      <c r="E4665" t="s">
        <v>15</v>
      </c>
      <c r="F4665" t="s">
        <v>10952</v>
      </c>
      <c r="G4665">
        <v>1</v>
      </c>
      <c r="H4665" t="s">
        <v>93</v>
      </c>
      <c r="I4665" t="s">
        <v>114</v>
      </c>
      <c r="J4665" t="s">
        <v>95</v>
      </c>
      <c r="K4665" t="s">
        <v>20</v>
      </c>
      <c r="L4665" t="s">
        <v>10953</v>
      </c>
      <c r="M4665" s="3" t="str">
        <f>HYPERLINK("..\..\Imagery\ScannedPhotos\1980\CG80-264.jpg")</f>
        <v>..\..\Imagery\ScannedPhotos\1980\CG80-264.jpg</v>
      </c>
    </row>
    <row r="4666" spans="1:13" x14ac:dyDescent="0.25">
      <c r="A4666" t="s">
        <v>3002</v>
      </c>
      <c r="B4666">
        <v>483941</v>
      </c>
      <c r="C4666">
        <v>5926922</v>
      </c>
      <c r="D4666">
        <v>21</v>
      </c>
      <c r="E4666" t="s">
        <v>15</v>
      </c>
      <c r="F4666" t="s">
        <v>10954</v>
      </c>
      <c r="G4666">
        <v>2</v>
      </c>
      <c r="H4666" t="s">
        <v>2995</v>
      </c>
      <c r="I4666" t="s">
        <v>119</v>
      </c>
      <c r="J4666" t="s">
        <v>156</v>
      </c>
      <c r="K4666" t="s">
        <v>20</v>
      </c>
      <c r="L4666" t="s">
        <v>3004</v>
      </c>
      <c r="M4666" s="3" t="str">
        <f>HYPERLINK("..\..\Imagery\ScannedPhotos\1984\VN84-053.1.jpg")</f>
        <v>..\..\Imagery\ScannedPhotos\1984\VN84-053.1.jpg</v>
      </c>
    </row>
    <row r="4667" spans="1:13" x14ac:dyDescent="0.25">
      <c r="A4667" t="s">
        <v>2519</v>
      </c>
      <c r="B4667">
        <v>434448</v>
      </c>
      <c r="C4667">
        <v>5867130</v>
      </c>
      <c r="D4667">
        <v>21</v>
      </c>
      <c r="E4667" t="s">
        <v>15</v>
      </c>
      <c r="F4667" t="s">
        <v>10955</v>
      </c>
      <c r="G4667">
        <v>7</v>
      </c>
      <c r="H4667" t="s">
        <v>2521</v>
      </c>
      <c r="I4667" t="s">
        <v>143</v>
      </c>
      <c r="J4667" t="s">
        <v>2522</v>
      </c>
      <c r="K4667" t="s">
        <v>56</v>
      </c>
      <c r="L4667" t="s">
        <v>322</v>
      </c>
      <c r="M4667" s="3" t="str">
        <f>HYPERLINK("..\..\Imagery\ScannedPhotos\1991\VN91-424.4.jpg")</f>
        <v>..\..\Imagery\ScannedPhotos\1991\VN91-424.4.jpg</v>
      </c>
    </row>
    <row r="4668" spans="1:13" x14ac:dyDescent="0.25">
      <c r="A4668" t="s">
        <v>970</v>
      </c>
      <c r="B4668">
        <v>442431</v>
      </c>
      <c r="C4668">
        <v>5995299</v>
      </c>
      <c r="D4668">
        <v>21</v>
      </c>
      <c r="E4668" t="s">
        <v>15</v>
      </c>
      <c r="F4668" t="s">
        <v>10956</v>
      </c>
      <c r="G4668">
        <v>13</v>
      </c>
      <c r="H4668" t="s">
        <v>972</v>
      </c>
      <c r="I4668" t="s">
        <v>69</v>
      </c>
      <c r="J4668" t="s">
        <v>807</v>
      </c>
      <c r="K4668" t="s">
        <v>20</v>
      </c>
      <c r="L4668" t="s">
        <v>973</v>
      </c>
      <c r="M4668" s="3" t="str">
        <f>HYPERLINK("..\..\Imagery\ScannedPhotos\1980\RG80-133.7.jpg")</f>
        <v>..\..\Imagery\ScannedPhotos\1980\RG80-133.7.jpg</v>
      </c>
    </row>
    <row r="4669" spans="1:13" x14ac:dyDescent="0.25">
      <c r="A4669" t="s">
        <v>9796</v>
      </c>
      <c r="B4669">
        <v>587579</v>
      </c>
      <c r="C4669">
        <v>5766326</v>
      </c>
      <c r="D4669">
        <v>21</v>
      </c>
      <c r="E4669" t="s">
        <v>15</v>
      </c>
      <c r="F4669" t="s">
        <v>10957</v>
      </c>
      <c r="G4669">
        <v>12</v>
      </c>
      <c r="H4669" t="s">
        <v>34</v>
      </c>
      <c r="I4669" t="s">
        <v>18</v>
      </c>
      <c r="J4669" t="s">
        <v>36</v>
      </c>
      <c r="K4669" t="s">
        <v>20</v>
      </c>
      <c r="L4669" t="s">
        <v>10958</v>
      </c>
      <c r="M4669" s="3" t="str">
        <f>HYPERLINK("..\..\Imagery\ScannedPhotos\1987\CG87-478.4.jpg")</f>
        <v>..\..\Imagery\ScannedPhotos\1987\CG87-478.4.jpg</v>
      </c>
    </row>
    <row r="4670" spans="1:13" x14ac:dyDescent="0.25">
      <c r="A4670" t="s">
        <v>9796</v>
      </c>
      <c r="B4670">
        <v>587579</v>
      </c>
      <c r="C4670">
        <v>5766326</v>
      </c>
      <c r="D4670">
        <v>21</v>
      </c>
      <c r="E4670" t="s">
        <v>15</v>
      </c>
      <c r="F4670" t="s">
        <v>10959</v>
      </c>
      <c r="G4670">
        <v>12</v>
      </c>
      <c r="H4670" t="s">
        <v>34</v>
      </c>
      <c r="I4670" t="s">
        <v>74</v>
      </c>
      <c r="J4670" t="s">
        <v>36</v>
      </c>
      <c r="K4670" t="s">
        <v>56</v>
      </c>
      <c r="L4670" t="s">
        <v>9800</v>
      </c>
      <c r="M4670" s="3" t="str">
        <f>HYPERLINK("..\..\Imagery\ScannedPhotos\1987\CG87-478.7.jpg")</f>
        <v>..\..\Imagery\ScannedPhotos\1987\CG87-478.7.jpg</v>
      </c>
    </row>
    <row r="4671" spans="1:13" x14ac:dyDescent="0.25">
      <c r="A4671" t="s">
        <v>9796</v>
      </c>
      <c r="B4671">
        <v>587579</v>
      </c>
      <c r="C4671">
        <v>5766326</v>
      </c>
      <c r="D4671">
        <v>21</v>
      </c>
      <c r="E4671" t="s">
        <v>15</v>
      </c>
      <c r="F4671" t="s">
        <v>10960</v>
      </c>
      <c r="G4671">
        <v>12</v>
      </c>
      <c r="H4671" t="s">
        <v>34</v>
      </c>
      <c r="I4671" t="s">
        <v>35</v>
      </c>
      <c r="J4671" t="s">
        <v>36</v>
      </c>
      <c r="K4671" t="s">
        <v>20</v>
      </c>
      <c r="L4671" t="s">
        <v>10958</v>
      </c>
      <c r="M4671" s="3" t="str">
        <f>HYPERLINK("..\..\Imagery\ScannedPhotos\1987\CG87-478.5.jpg")</f>
        <v>..\..\Imagery\ScannedPhotos\1987\CG87-478.5.jpg</v>
      </c>
    </row>
    <row r="4672" spans="1:13" x14ac:dyDescent="0.25">
      <c r="A4672" t="s">
        <v>10961</v>
      </c>
      <c r="B4672">
        <v>507785</v>
      </c>
      <c r="C4672">
        <v>5801698</v>
      </c>
      <c r="D4672">
        <v>21</v>
      </c>
      <c r="E4672" t="s">
        <v>15</v>
      </c>
      <c r="F4672" t="s">
        <v>10962</v>
      </c>
      <c r="G4672">
        <v>1</v>
      </c>
      <c r="H4672" t="s">
        <v>796</v>
      </c>
      <c r="I4672" t="s">
        <v>209</v>
      </c>
      <c r="J4672" t="s">
        <v>797</v>
      </c>
      <c r="K4672" t="s">
        <v>20</v>
      </c>
      <c r="L4672" t="s">
        <v>10963</v>
      </c>
      <c r="M4672" s="3" t="str">
        <f>HYPERLINK("..\..\Imagery\ScannedPhotos\1987\JS87-072.jpg")</f>
        <v>..\..\Imagery\ScannedPhotos\1987\JS87-072.jpg</v>
      </c>
    </row>
    <row r="4673" spans="1:13" x14ac:dyDescent="0.25">
      <c r="A4673" t="s">
        <v>9601</v>
      </c>
      <c r="B4673">
        <v>402670</v>
      </c>
      <c r="C4673">
        <v>6066341</v>
      </c>
      <c r="D4673">
        <v>21</v>
      </c>
      <c r="E4673" t="s">
        <v>15</v>
      </c>
      <c r="F4673" t="s">
        <v>10964</v>
      </c>
      <c r="G4673">
        <v>3</v>
      </c>
      <c r="H4673" t="s">
        <v>1207</v>
      </c>
      <c r="I4673" t="s">
        <v>108</v>
      </c>
      <c r="J4673" t="s">
        <v>1208</v>
      </c>
      <c r="K4673" t="s">
        <v>535</v>
      </c>
      <c r="L4673" t="s">
        <v>10965</v>
      </c>
      <c r="M4673" s="3" t="str">
        <f>HYPERLINK("..\..\Imagery\ScannedPhotos\1979\CG79-099.2.jpg")</f>
        <v>..\..\Imagery\ScannedPhotos\1979\CG79-099.2.jpg</v>
      </c>
    </row>
    <row r="4674" spans="1:13" x14ac:dyDescent="0.25">
      <c r="A4674" t="s">
        <v>9601</v>
      </c>
      <c r="B4674">
        <v>402670</v>
      </c>
      <c r="C4674">
        <v>6066341</v>
      </c>
      <c r="D4674">
        <v>21</v>
      </c>
      <c r="E4674" t="s">
        <v>15</v>
      </c>
      <c r="F4674" t="s">
        <v>10966</v>
      </c>
      <c r="G4674">
        <v>3</v>
      </c>
      <c r="H4674" t="s">
        <v>1207</v>
      </c>
      <c r="I4674" t="s">
        <v>132</v>
      </c>
      <c r="J4674" t="s">
        <v>1208</v>
      </c>
      <c r="K4674" t="s">
        <v>228</v>
      </c>
      <c r="L4674" t="s">
        <v>10967</v>
      </c>
      <c r="M4674" s="3" t="str">
        <f>HYPERLINK("..\..\Imagery\ScannedPhotos\1979\CG79-099.3.jpg")</f>
        <v>..\..\Imagery\ScannedPhotos\1979\CG79-099.3.jpg</v>
      </c>
    </row>
    <row r="4675" spans="1:13" x14ac:dyDescent="0.25">
      <c r="A4675" t="s">
        <v>10968</v>
      </c>
      <c r="B4675">
        <v>419229</v>
      </c>
      <c r="C4675">
        <v>6072527</v>
      </c>
      <c r="D4675">
        <v>21</v>
      </c>
      <c r="E4675" t="s">
        <v>15</v>
      </c>
      <c r="F4675" t="s">
        <v>10969</v>
      </c>
      <c r="G4675">
        <v>2</v>
      </c>
      <c r="H4675" t="s">
        <v>1207</v>
      </c>
      <c r="I4675" t="s">
        <v>147</v>
      </c>
      <c r="J4675" t="s">
        <v>1208</v>
      </c>
      <c r="K4675" t="s">
        <v>20</v>
      </c>
      <c r="L4675" t="s">
        <v>10970</v>
      </c>
      <c r="M4675" s="3" t="str">
        <f>HYPERLINK("..\..\Imagery\ScannedPhotos\1979\CG79-118.2.jpg")</f>
        <v>..\..\Imagery\ScannedPhotos\1979\CG79-118.2.jpg</v>
      </c>
    </row>
    <row r="4676" spans="1:13" x14ac:dyDescent="0.25">
      <c r="A4676" t="s">
        <v>10971</v>
      </c>
      <c r="B4676">
        <v>531172</v>
      </c>
      <c r="C4676">
        <v>5795707</v>
      </c>
      <c r="D4676">
        <v>21</v>
      </c>
      <c r="E4676" t="s">
        <v>15</v>
      </c>
      <c r="F4676" t="s">
        <v>10972</v>
      </c>
      <c r="G4676">
        <v>1</v>
      </c>
      <c r="H4676" t="s">
        <v>2099</v>
      </c>
      <c r="J4676" t="s">
        <v>48</v>
      </c>
      <c r="K4676" t="s">
        <v>20</v>
      </c>
      <c r="L4676" t="s">
        <v>10973</v>
      </c>
      <c r="M4676" s="3" t="str">
        <f>HYPERLINK("..\..\Imagery\ScannedPhotos\1987\CG87-265.jpg")</f>
        <v>..\..\Imagery\ScannedPhotos\1987\CG87-265.jpg</v>
      </c>
    </row>
    <row r="4677" spans="1:13" x14ac:dyDescent="0.25">
      <c r="A4677" t="s">
        <v>10974</v>
      </c>
      <c r="B4677">
        <v>524303</v>
      </c>
      <c r="C4677">
        <v>5733487</v>
      </c>
      <c r="D4677">
        <v>21</v>
      </c>
      <c r="E4677" t="s">
        <v>15</v>
      </c>
      <c r="F4677" t="s">
        <v>10975</v>
      </c>
      <c r="G4677">
        <v>2</v>
      </c>
      <c r="H4677" t="s">
        <v>7220</v>
      </c>
      <c r="I4677" t="s">
        <v>375</v>
      </c>
      <c r="J4677" t="s">
        <v>1738</v>
      </c>
      <c r="K4677" t="s">
        <v>56</v>
      </c>
      <c r="L4677" t="s">
        <v>10976</v>
      </c>
      <c r="M4677" s="3" t="str">
        <f>HYPERLINK("..\..\Imagery\ScannedPhotos\1993\CG93-328.1.jpg")</f>
        <v>..\..\Imagery\ScannedPhotos\1993\CG93-328.1.jpg</v>
      </c>
    </row>
    <row r="4678" spans="1:13" x14ac:dyDescent="0.25">
      <c r="A4678" t="s">
        <v>4931</v>
      </c>
      <c r="B4678">
        <v>446383</v>
      </c>
      <c r="C4678">
        <v>5910379</v>
      </c>
      <c r="D4678">
        <v>21</v>
      </c>
      <c r="E4678" t="s">
        <v>15</v>
      </c>
      <c r="F4678" t="s">
        <v>10977</v>
      </c>
      <c r="G4678">
        <v>3</v>
      </c>
      <c r="H4678" t="s">
        <v>155</v>
      </c>
      <c r="I4678" t="s">
        <v>386</v>
      </c>
      <c r="J4678" t="s">
        <v>156</v>
      </c>
      <c r="K4678" t="s">
        <v>20</v>
      </c>
      <c r="L4678" t="s">
        <v>4935</v>
      </c>
      <c r="M4678" s="3" t="str">
        <f>HYPERLINK("..\..\Imagery\ScannedPhotos\1984\NN84-104.3.jpg")</f>
        <v>..\..\Imagery\ScannedPhotos\1984\NN84-104.3.jpg</v>
      </c>
    </row>
    <row r="4679" spans="1:13" x14ac:dyDescent="0.25">
      <c r="A4679" t="s">
        <v>10978</v>
      </c>
      <c r="B4679">
        <v>576126</v>
      </c>
      <c r="C4679">
        <v>5821274</v>
      </c>
      <c r="D4679">
        <v>21</v>
      </c>
      <c r="E4679" t="s">
        <v>15</v>
      </c>
      <c r="F4679" t="s">
        <v>10979</v>
      </c>
      <c r="G4679">
        <v>2</v>
      </c>
      <c r="H4679" t="s">
        <v>293</v>
      </c>
      <c r="I4679" t="s">
        <v>281</v>
      </c>
      <c r="J4679" t="s">
        <v>295</v>
      </c>
      <c r="K4679" t="s">
        <v>20</v>
      </c>
      <c r="L4679" t="s">
        <v>10980</v>
      </c>
      <c r="M4679" s="3" t="str">
        <f>HYPERLINK("..\..\Imagery\ScannedPhotos\1986\CG86-723.1.jpg")</f>
        <v>..\..\Imagery\ScannedPhotos\1986\CG86-723.1.jpg</v>
      </c>
    </row>
    <row r="4680" spans="1:13" x14ac:dyDescent="0.25">
      <c r="A4680" t="s">
        <v>10978</v>
      </c>
      <c r="B4680">
        <v>576126</v>
      </c>
      <c r="C4680">
        <v>5821274</v>
      </c>
      <c r="D4680">
        <v>21</v>
      </c>
      <c r="E4680" t="s">
        <v>15</v>
      </c>
      <c r="F4680" t="s">
        <v>10981</v>
      </c>
      <c r="G4680">
        <v>2</v>
      </c>
      <c r="H4680" t="s">
        <v>293</v>
      </c>
      <c r="I4680" t="s">
        <v>137</v>
      </c>
      <c r="J4680" t="s">
        <v>295</v>
      </c>
      <c r="K4680" t="s">
        <v>56</v>
      </c>
      <c r="L4680" t="s">
        <v>10982</v>
      </c>
      <c r="M4680" s="3" t="str">
        <f>HYPERLINK("..\..\Imagery\ScannedPhotos\1986\CG86-723.2.jpg")</f>
        <v>..\..\Imagery\ScannedPhotos\1986\CG86-723.2.jpg</v>
      </c>
    </row>
    <row r="4681" spans="1:13" x14ac:dyDescent="0.25">
      <c r="A4681" t="s">
        <v>10983</v>
      </c>
      <c r="B4681">
        <v>575751</v>
      </c>
      <c r="C4681">
        <v>5821662</v>
      </c>
      <c r="D4681">
        <v>21</v>
      </c>
      <c r="E4681" t="s">
        <v>15</v>
      </c>
      <c r="F4681" t="s">
        <v>10984</v>
      </c>
      <c r="G4681">
        <v>2</v>
      </c>
      <c r="H4681" t="s">
        <v>293</v>
      </c>
      <c r="I4681" t="s">
        <v>18</v>
      </c>
      <c r="J4681" t="s">
        <v>295</v>
      </c>
      <c r="K4681" t="s">
        <v>20</v>
      </c>
      <c r="L4681" t="s">
        <v>10985</v>
      </c>
      <c r="M4681" s="3" t="str">
        <f>HYPERLINK("..\..\Imagery\ScannedPhotos\1986\CG86-724.1.jpg")</f>
        <v>..\..\Imagery\ScannedPhotos\1986\CG86-724.1.jpg</v>
      </c>
    </row>
    <row r="4682" spans="1:13" x14ac:dyDescent="0.25">
      <c r="A4682" t="s">
        <v>10983</v>
      </c>
      <c r="B4682">
        <v>575751</v>
      </c>
      <c r="C4682">
        <v>5821662</v>
      </c>
      <c r="D4682">
        <v>21</v>
      </c>
      <c r="E4682" t="s">
        <v>15</v>
      </c>
      <c r="F4682" t="s">
        <v>10986</v>
      </c>
      <c r="G4682">
        <v>2</v>
      </c>
      <c r="H4682" t="s">
        <v>293</v>
      </c>
      <c r="I4682" t="s">
        <v>35</v>
      </c>
      <c r="J4682" t="s">
        <v>295</v>
      </c>
      <c r="K4682" t="s">
        <v>20</v>
      </c>
      <c r="L4682" t="s">
        <v>10987</v>
      </c>
      <c r="M4682" s="3" t="str">
        <f>HYPERLINK("..\..\Imagery\ScannedPhotos\1986\CG86-724.2.jpg")</f>
        <v>..\..\Imagery\ScannedPhotos\1986\CG86-724.2.jpg</v>
      </c>
    </row>
    <row r="4683" spans="1:13" x14ac:dyDescent="0.25">
      <c r="A4683" t="s">
        <v>10988</v>
      </c>
      <c r="B4683">
        <v>575101</v>
      </c>
      <c r="C4683">
        <v>5822587</v>
      </c>
      <c r="D4683">
        <v>21</v>
      </c>
      <c r="E4683" t="s">
        <v>15</v>
      </c>
      <c r="F4683" t="s">
        <v>10989</v>
      </c>
      <c r="G4683">
        <v>2</v>
      </c>
      <c r="H4683" t="s">
        <v>293</v>
      </c>
      <c r="I4683" t="s">
        <v>69</v>
      </c>
      <c r="J4683" t="s">
        <v>295</v>
      </c>
      <c r="K4683" t="s">
        <v>56</v>
      </c>
      <c r="L4683" t="s">
        <v>10990</v>
      </c>
      <c r="M4683" s="3" t="str">
        <f>HYPERLINK("..\..\Imagery\ScannedPhotos\1986\CG86-728.1.jpg")</f>
        <v>..\..\Imagery\ScannedPhotos\1986\CG86-728.1.jpg</v>
      </c>
    </row>
    <row r="4684" spans="1:13" x14ac:dyDescent="0.25">
      <c r="A4684" t="s">
        <v>10988</v>
      </c>
      <c r="B4684">
        <v>575101</v>
      </c>
      <c r="C4684">
        <v>5822587</v>
      </c>
      <c r="D4684">
        <v>21</v>
      </c>
      <c r="E4684" t="s">
        <v>15</v>
      </c>
      <c r="F4684" t="s">
        <v>10991</v>
      </c>
      <c r="G4684">
        <v>2</v>
      </c>
      <c r="H4684" t="s">
        <v>293</v>
      </c>
      <c r="I4684" t="s">
        <v>74</v>
      </c>
      <c r="J4684" t="s">
        <v>295</v>
      </c>
      <c r="K4684" t="s">
        <v>56</v>
      </c>
      <c r="L4684" t="s">
        <v>10990</v>
      </c>
      <c r="M4684" s="3" t="str">
        <f>HYPERLINK("..\..\Imagery\ScannedPhotos\1986\CG86-728.2.jpg")</f>
        <v>..\..\Imagery\ScannedPhotos\1986\CG86-728.2.jpg</v>
      </c>
    </row>
    <row r="4685" spans="1:13" x14ac:dyDescent="0.25">
      <c r="A4685" t="s">
        <v>10992</v>
      </c>
      <c r="B4685">
        <v>575206</v>
      </c>
      <c r="C4685">
        <v>5823010</v>
      </c>
      <c r="D4685">
        <v>21</v>
      </c>
      <c r="E4685" t="s">
        <v>15</v>
      </c>
      <c r="F4685" t="s">
        <v>10993</v>
      </c>
      <c r="G4685">
        <v>1</v>
      </c>
      <c r="H4685" t="s">
        <v>293</v>
      </c>
      <c r="I4685" t="s">
        <v>41</v>
      </c>
      <c r="J4685" t="s">
        <v>295</v>
      </c>
      <c r="K4685" t="s">
        <v>56</v>
      </c>
      <c r="L4685" t="s">
        <v>1020</v>
      </c>
      <c r="M4685" s="3" t="str">
        <f>HYPERLINK("..\..\Imagery\ScannedPhotos\1986\CG86-729.jpg")</f>
        <v>..\..\Imagery\ScannedPhotos\1986\CG86-729.jpg</v>
      </c>
    </row>
    <row r="4686" spans="1:13" x14ac:dyDescent="0.25">
      <c r="A4686" t="s">
        <v>10994</v>
      </c>
      <c r="B4686">
        <v>359800</v>
      </c>
      <c r="C4686">
        <v>5819436</v>
      </c>
      <c r="D4686">
        <v>21</v>
      </c>
      <c r="E4686" t="s">
        <v>15</v>
      </c>
      <c r="F4686" t="s">
        <v>10995</v>
      </c>
      <c r="G4686">
        <v>4</v>
      </c>
      <c r="H4686" t="s">
        <v>5833</v>
      </c>
      <c r="I4686" t="s">
        <v>147</v>
      </c>
      <c r="J4686" t="s">
        <v>260</v>
      </c>
      <c r="K4686" t="s">
        <v>56</v>
      </c>
      <c r="L4686" t="s">
        <v>10996</v>
      </c>
      <c r="M4686" s="3" t="str">
        <f>HYPERLINK("..\..\Imagery\ScannedPhotos\1998\CG98-188.2.jpg")</f>
        <v>..\..\Imagery\ScannedPhotos\1998\CG98-188.2.jpg</v>
      </c>
    </row>
    <row r="4687" spans="1:13" x14ac:dyDescent="0.25">
      <c r="A4687" t="s">
        <v>10994</v>
      </c>
      <c r="B4687">
        <v>359800</v>
      </c>
      <c r="C4687">
        <v>5819436</v>
      </c>
      <c r="D4687">
        <v>21</v>
      </c>
      <c r="E4687" t="s">
        <v>15</v>
      </c>
      <c r="F4687" t="s">
        <v>10997</v>
      </c>
      <c r="G4687">
        <v>4</v>
      </c>
      <c r="H4687" t="s">
        <v>5833</v>
      </c>
      <c r="I4687" t="s">
        <v>143</v>
      </c>
      <c r="J4687" t="s">
        <v>260</v>
      </c>
      <c r="K4687" t="s">
        <v>56</v>
      </c>
      <c r="L4687" t="s">
        <v>3887</v>
      </c>
      <c r="M4687" s="3" t="str">
        <f>HYPERLINK("..\..\Imagery\ScannedPhotos\1998\CG98-188.1.jpg")</f>
        <v>..\..\Imagery\ScannedPhotos\1998\CG98-188.1.jpg</v>
      </c>
    </row>
    <row r="4688" spans="1:13" x14ac:dyDescent="0.25">
      <c r="A4688" t="s">
        <v>10998</v>
      </c>
      <c r="B4688">
        <v>356307</v>
      </c>
      <c r="C4688">
        <v>5822283</v>
      </c>
      <c r="D4688">
        <v>21</v>
      </c>
      <c r="E4688" t="s">
        <v>15</v>
      </c>
      <c r="F4688" t="s">
        <v>10999</v>
      </c>
      <c r="G4688">
        <v>1</v>
      </c>
      <c r="H4688" t="s">
        <v>5833</v>
      </c>
      <c r="I4688" t="s">
        <v>69</v>
      </c>
      <c r="J4688" t="s">
        <v>260</v>
      </c>
      <c r="K4688" t="s">
        <v>56</v>
      </c>
      <c r="L4688" t="s">
        <v>11000</v>
      </c>
      <c r="M4688" s="3" t="str">
        <f>HYPERLINK("..\..\Imagery\ScannedPhotos\1998\CG98-191.jpg")</f>
        <v>..\..\Imagery\ScannedPhotos\1998\CG98-191.jpg</v>
      </c>
    </row>
    <row r="4689" spans="1:13" x14ac:dyDescent="0.25">
      <c r="A4689" t="s">
        <v>11001</v>
      </c>
      <c r="B4689">
        <v>349231</v>
      </c>
      <c r="C4689">
        <v>5828782</v>
      </c>
      <c r="D4689">
        <v>21</v>
      </c>
      <c r="E4689" t="s">
        <v>15</v>
      </c>
      <c r="F4689" t="s">
        <v>11002</v>
      </c>
      <c r="G4689">
        <v>1</v>
      </c>
      <c r="H4689" t="s">
        <v>5833</v>
      </c>
      <c r="I4689" t="s">
        <v>74</v>
      </c>
      <c r="J4689" t="s">
        <v>260</v>
      </c>
      <c r="K4689" t="s">
        <v>56</v>
      </c>
      <c r="L4689" t="s">
        <v>11003</v>
      </c>
      <c r="M4689" s="3" t="str">
        <f>HYPERLINK("..\..\Imagery\ScannedPhotos\1998\CG98-194.jpg")</f>
        <v>..\..\Imagery\ScannedPhotos\1998\CG98-194.jpg</v>
      </c>
    </row>
    <row r="4690" spans="1:13" x14ac:dyDescent="0.25">
      <c r="A4690" t="s">
        <v>11004</v>
      </c>
      <c r="B4690">
        <v>347414</v>
      </c>
      <c r="C4690">
        <v>5831012</v>
      </c>
      <c r="D4690">
        <v>21</v>
      </c>
      <c r="E4690" t="s">
        <v>15</v>
      </c>
      <c r="F4690" t="s">
        <v>11005</v>
      </c>
      <c r="G4690">
        <v>1</v>
      </c>
      <c r="H4690" t="s">
        <v>5833</v>
      </c>
      <c r="I4690" t="s">
        <v>41</v>
      </c>
      <c r="J4690" t="s">
        <v>260</v>
      </c>
      <c r="K4690" t="s">
        <v>56</v>
      </c>
      <c r="L4690" t="s">
        <v>2179</v>
      </c>
      <c r="M4690" s="3" t="str">
        <f>HYPERLINK("..\..\Imagery\ScannedPhotos\1998\CG98-196.jpg")</f>
        <v>..\..\Imagery\ScannedPhotos\1998\CG98-196.jpg</v>
      </c>
    </row>
    <row r="4691" spans="1:13" x14ac:dyDescent="0.25">
      <c r="A4691" t="s">
        <v>11006</v>
      </c>
      <c r="B4691">
        <v>339830</v>
      </c>
      <c r="C4691">
        <v>5834920</v>
      </c>
      <c r="D4691">
        <v>21</v>
      </c>
      <c r="E4691" t="s">
        <v>15</v>
      </c>
      <c r="F4691" t="s">
        <v>11007</v>
      </c>
      <c r="G4691">
        <v>1</v>
      </c>
      <c r="H4691" t="s">
        <v>5833</v>
      </c>
      <c r="I4691" t="s">
        <v>65</v>
      </c>
      <c r="J4691" t="s">
        <v>260</v>
      </c>
      <c r="K4691" t="s">
        <v>56</v>
      </c>
      <c r="L4691" t="s">
        <v>6667</v>
      </c>
      <c r="M4691" s="3" t="str">
        <f>HYPERLINK("..\..\Imagery\ScannedPhotos\1998\CG98-200.jpg")</f>
        <v>..\..\Imagery\ScannedPhotos\1998\CG98-200.jpg</v>
      </c>
    </row>
    <row r="4692" spans="1:13" x14ac:dyDescent="0.25">
      <c r="A4692" t="s">
        <v>11008</v>
      </c>
      <c r="B4692">
        <v>352251</v>
      </c>
      <c r="C4692">
        <v>5772212</v>
      </c>
      <c r="D4692">
        <v>21</v>
      </c>
      <c r="E4692" t="s">
        <v>15</v>
      </c>
      <c r="F4692" t="s">
        <v>11009</v>
      </c>
      <c r="G4692">
        <v>1</v>
      </c>
      <c r="H4692" t="s">
        <v>2236</v>
      </c>
      <c r="I4692" t="s">
        <v>35</v>
      </c>
      <c r="J4692" t="s">
        <v>80</v>
      </c>
      <c r="K4692" t="s">
        <v>20</v>
      </c>
      <c r="L4692" t="s">
        <v>11010</v>
      </c>
      <c r="M4692" s="3" t="str">
        <f>HYPERLINK("..\..\Imagery\ScannedPhotos\2000\CG00-227.jpg")</f>
        <v>..\..\Imagery\ScannedPhotos\2000\CG00-227.jpg</v>
      </c>
    </row>
    <row r="4693" spans="1:13" x14ac:dyDescent="0.25">
      <c r="A4693" t="s">
        <v>9753</v>
      </c>
      <c r="B4693">
        <v>435875</v>
      </c>
      <c r="C4693">
        <v>5792910</v>
      </c>
      <c r="D4693">
        <v>21</v>
      </c>
      <c r="E4693" t="s">
        <v>15</v>
      </c>
      <c r="F4693" t="s">
        <v>11011</v>
      </c>
      <c r="G4693">
        <v>3</v>
      </c>
      <c r="H4693" t="s">
        <v>9755</v>
      </c>
      <c r="I4693" t="s">
        <v>137</v>
      </c>
      <c r="J4693" t="s">
        <v>9756</v>
      </c>
      <c r="K4693" t="s">
        <v>56</v>
      </c>
      <c r="L4693" t="s">
        <v>9757</v>
      </c>
      <c r="M4693" s="3" t="str">
        <f>HYPERLINK("..\..\Imagery\ScannedPhotos\1992\HP92-130.2.jpg")</f>
        <v>..\..\Imagery\ScannedPhotos\1992\HP92-130.2.jpg</v>
      </c>
    </row>
    <row r="4694" spans="1:13" x14ac:dyDescent="0.25">
      <c r="A4694" t="s">
        <v>9753</v>
      </c>
      <c r="B4694">
        <v>435875</v>
      </c>
      <c r="C4694">
        <v>5792910</v>
      </c>
      <c r="D4694">
        <v>21</v>
      </c>
      <c r="E4694" t="s">
        <v>15</v>
      </c>
      <c r="F4694" t="s">
        <v>11012</v>
      </c>
      <c r="G4694">
        <v>3</v>
      </c>
      <c r="H4694" t="s">
        <v>9755</v>
      </c>
      <c r="I4694" t="s">
        <v>18</v>
      </c>
      <c r="J4694" t="s">
        <v>9756</v>
      </c>
      <c r="K4694" t="s">
        <v>56</v>
      </c>
      <c r="L4694" t="s">
        <v>9757</v>
      </c>
      <c r="M4694" s="3" t="str">
        <f>HYPERLINK("..\..\Imagery\ScannedPhotos\1992\HP92-130.3.jpg")</f>
        <v>..\..\Imagery\ScannedPhotos\1992\HP92-130.3.jpg</v>
      </c>
    </row>
    <row r="4695" spans="1:13" x14ac:dyDescent="0.25">
      <c r="A4695" t="s">
        <v>11013</v>
      </c>
      <c r="B4695">
        <v>400905</v>
      </c>
      <c r="C4695">
        <v>5815220</v>
      </c>
      <c r="D4695">
        <v>21</v>
      </c>
      <c r="E4695" t="s">
        <v>15</v>
      </c>
      <c r="F4695" t="s">
        <v>11014</v>
      </c>
      <c r="G4695">
        <v>2</v>
      </c>
      <c r="H4695" t="s">
        <v>766</v>
      </c>
      <c r="I4695" t="s">
        <v>108</v>
      </c>
      <c r="J4695" t="s">
        <v>767</v>
      </c>
      <c r="K4695" t="s">
        <v>56</v>
      </c>
      <c r="L4695" t="s">
        <v>11015</v>
      </c>
      <c r="M4695" s="3" t="str">
        <f>HYPERLINK("..\..\Imagery\ScannedPhotos\1999\CG99-391.1.jpg")</f>
        <v>..\..\Imagery\ScannedPhotos\1999\CG99-391.1.jpg</v>
      </c>
    </row>
    <row r="4696" spans="1:13" x14ac:dyDescent="0.25">
      <c r="A4696" t="s">
        <v>11013</v>
      </c>
      <c r="B4696">
        <v>400905</v>
      </c>
      <c r="C4696">
        <v>5815220</v>
      </c>
      <c r="D4696">
        <v>21</v>
      </c>
      <c r="E4696" t="s">
        <v>15</v>
      </c>
      <c r="F4696" t="s">
        <v>11016</v>
      </c>
      <c r="G4696">
        <v>2</v>
      </c>
      <c r="H4696" t="s">
        <v>766</v>
      </c>
      <c r="I4696" t="s">
        <v>132</v>
      </c>
      <c r="J4696" t="s">
        <v>767</v>
      </c>
      <c r="K4696" t="s">
        <v>20</v>
      </c>
      <c r="L4696" t="s">
        <v>11017</v>
      </c>
      <c r="M4696" s="3" t="str">
        <f>HYPERLINK("..\..\Imagery\ScannedPhotos\1999\CG99-391.2.jpg")</f>
        <v>..\..\Imagery\ScannedPhotos\1999\CG99-391.2.jpg</v>
      </c>
    </row>
    <row r="4697" spans="1:13" x14ac:dyDescent="0.25">
      <c r="A4697" t="s">
        <v>11018</v>
      </c>
      <c r="B4697">
        <v>362703</v>
      </c>
      <c r="C4697">
        <v>5765134</v>
      </c>
      <c r="D4697">
        <v>21</v>
      </c>
      <c r="E4697" t="s">
        <v>15</v>
      </c>
      <c r="F4697" t="s">
        <v>11019</v>
      </c>
      <c r="G4697">
        <v>1</v>
      </c>
      <c r="H4697" t="s">
        <v>7324</v>
      </c>
      <c r="I4697" t="s">
        <v>281</v>
      </c>
      <c r="J4697" t="s">
        <v>7325</v>
      </c>
      <c r="K4697" t="s">
        <v>20</v>
      </c>
      <c r="L4697" t="s">
        <v>322</v>
      </c>
      <c r="M4697" s="3" t="str">
        <f>HYPERLINK("..\..\Imagery\ScannedPhotos\1999\CG99-394.jpg")</f>
        <v>..\..\Imagery\ScannedPhotos\1999\CG99-394.jpg</v>
      </c>
    </row>
    <row r="4698" spans="1:13" x14ac:dyDescent="0.25">
      <c r="A4698" t="s">
        <v>11020</v>
      </c>
      <c r="B4698">
        <v>577504</v>
      </c>
      <c r="C4698">
        <v>5852434</v>
      </c>
      <c r="D4698">
        <v>21</v>
      </c>
      <c r="E4698" t="s">
        <v>15</v>
      </c>
      <c r="F4698" t="s">
        <v>11021</v>
      </c>
      <c r="G4698">
        <v>1</v>
      </c>
      <c r="H4698" t="s">
        <v>2130</v>
      </c>
      <c r="I4698" t="s">
        <v>119</v>
      </c>
      <c r="J4698" t="s">
        <v>300</v>
      </c>
      <c r="K4698" t="s">
        <v>20</v>
      </c>
      <c r="L4698" t="s">
        <v>11022</v>
      </c>
      <c r="M4698" s="3" t="str">
        <f>HYPERLINK("..\..\Imagery\ScannedPhotos\1986\JS86-410.jpg")</f>
        <v>..\..\Imagery\ScannedPhotos\1986\JS86-410.jpg</v>
      </c>
    </row>
    <row r="4699" spans="1:13" x14ac:dyDescent="0.25">
      <c r="A4699" t="s">
        <v>11023</v>
      </c>
      <c r="B4699">
        <v>576566</v>
      </c>
      <c r="C4699">
        <v>5851218</v>
      </c>
      <c r="D4699">
        <v>21</v>
      </c>
      <c r="E4699" t="s">
        <v>15</v>
      </c>
      <c r="F4699" t="s">
        <v>11024</v>
      </c>
      <c r="G4699">
        <v>1</v>
      </c>
      <c r="H4699" t="s">
        <v>2130</v>
      </c>
      <c r="I4699" t="s">
        <v>108</v>
      </c>
      <c r="J4699" t="s">
        <v>300</v>
      </c>
      <c r="K4699" t="s">
        <v>20</v>
      </c>
      <c r="L4699" t="s">
        <v>2996</v>
      </c>
      <c r="M4699" s="3" t="str">
        <f>HYPERLINK("..\..\Imagery\ScannedPhotos\1986\JS86-416.jpg")</f>
        <v>..\..\Imagery\ScannedPhotos\1986\JS86-416.jpg</v>
      </c>
    </row>
    <row r="4700" spans="1:13" x14ac:dyDescent="0.25">
      <c r="A4700" t="s">
        <v>11025</v>
      </c>
      <c r="B4700">
        <v>571494</v>
      </c>
      <c r="C4700">
        <v>5849117</v>
      </c>
      <c r="D4700">
        <v>21</v>
      </c>
      <c r="E4700" t="s">
        <v>15</v>
      </c>
      <c r="F4700" t="s">
        <v>11026</v>
      </c>
      <c r="G4700">
        <v>1</v>
      </c>
      <c r="H4700" t="s">
        <v>2130</v>
      </c>
      <c r="I4700" t="s">
        <v>132</v>
      </c>
      <c r="J4700" t="s">
        <v>300</v>
      </c>
      <c r="K4700" t="s">
        <v>56</v>
      </c>
      <c r="L4700" t="s">
        <v>11027</v>
      </c>
      <c r="M4700" s="3" t="str">
        <f>HYPERLINK("..\..\Imagery\ScannedPhotos\1986\JS86-423.jpg")</f>
        <v>..\..\Imagery\ScannedPhotos\1986\JS86-423.jpg</v>
      </c>
    </row>
    <row r="4701" spans="1:13" x14ac:dyDescent="0.25">
      <c r="A4701" t="s">
        <v>10225</v>
      </c>
      <c r="B4701">
        <v>464256</v>
      </c>
      <c r="C4701">
        <v>5926310</v>
      </c>
      <c r="D4701">
        <v>21</v>
      </c>
      <c r="E4701" t="s">
        <v>15</v>
      </c>
      <c r="F4701" t="s">
        <v>11028</v>
      </c>
      <c r="G4701">
        <v>4</v>
      </c>
      <c r="H4701" t="s">
        <v>3982</v>
      </c>
      <c r="I4701" t="s">
        <v>217</v>
      </c>
      <c r="J4701" t="s">
        <v>2247</v>
      </c>
      <c r="K4701" t="s">
        <v>20</v>
      </c>
      <c r="L4701" t="s">
        <v>11029</v>
      </c>
      <c r="M4701" s="3" t="str">
        <f>HYPERLINK("..\..\Imagery\ScannedPhotos\1984\CG84-439.3.jpg")</f>
        <v>..\..\Imagery\ScannedPhotos\1984\CG84-439.3.jpg</v>
      </c>
    </row>
    <row r="4702" spans="1:13" x14ac:dyDescent="0.25">
      <c r="A4702" t="s">
        <v>10225</v>
      </c>
      <c r="B4702">
        <v>464256</v>
      </c>
      <c r="C4702">
        <v>5926310</v>
      </c>
      <c r="D4702">
        <v>21</v>
      </c>
      <c r="E4702" t="s">
        <v>15</v>
      </c>
      <c r="F4702" t="s">
        <v>11030</v>
      </c>
      <c r="G4702">
        <v>4</v>
      </c>
      <c r="H4702" t="s">
        <v>3982</v>
      </c>
      <c r="I4702" t="s">
        <v>386</v>
      </c>
      <c r="J4702" t="s">
        <v>2247</v>
      </c>
      <c r="K4702" t="s">
        <v>56</v>
      </c>
      <c r="L4702" t="s">
        <v>11031</v>
      </c>
      <c r="M4702" s="3" t="str">
        <f>HYPERLINK("..\..\Imagery\ScannedPhotos\1984\CG84-439.2.jpg")</f>
        <v>..\..\Imagery\ScannedPhotos\1984\CG84-439.2.jpg</v>
      </c>
    </row>
    <row r="4703" spans="1:13" x14ac:dyDescent="0.25">
      <c r="A4703" t="s">
        <v>10225</v>
      </c>
      <c r="B4703">
        <v>464256</v>
      </c>
      <c r="C4703">
        <v>5926310</v>
      </c>
      <c r="D4703">
        <v>21</v>
      </c>
      <c r="E4703" t="s">
        <v>15</v>
      </c>
      <c r="F4703" t="s">
        <v>11032</v>
      </c>
      <c r="G4703">
        <v>4</v>
      </c>
      <c r="H4703" t="s">
        <v>3982</v>
      </c>
      <c r="I4703" t="s">
        <v>209</v>
      </c>
      <c r="J4703" t="s">
        <v>2247</v>
      </c>
      <c r="K4703" t="s">
        <v>20</v>
      </c>
      <c r="L4703" t="s">
        <v>2949</v>
      </c>
      <c r="M4703" s="3" t="str">
        <f>HYPERLINK("..\..\Imagery\ScannedPhotos\1984\CG84-439.1.jpg")</f>
        <v>..\..\Imagery\ScannedPhotos\1984\CG84-439.1.jpg</v>
      </c>
    </row>
    <row r="4704" spans="1:13" x14ac:dyDescent="0.25">
      <c r="A4704" t="s">
        <v>11033</v>
      </c>
      <c r="B4704">
        <v>463316</v>
      </c>
      <c r="C4704">
        <v>6056606</v>
      </c>
      <c r="D4704">
        <v>21</v>
      </c>
      <c r="E4704" t="s">
        <v>15</v>
      </c>
      <c r="F4704" t="s">
        <v>11034</v>
      </c>
      <c r="G4704">
        <v>3</v>
      </c>
      <c r="H4704" t="s">
        <v>696</v>
      </c>
      <c r="I4704" t="s">
        <v>360</v>
      </c>
      <c r="J4704" t="s">
        <v>355</v>
      </c>
      <c r="K4704" t="s">
        <v>20</v>
      </c>
      <c r="L4704" t="s">
        <v>11035</v>
      </c>
      <c r="M4704" s="3" t="str">
        <f>HYPERLINK("..\..\Imagery\ScannedPhotos\1979\CG79-266.1.jpg")</f>
        <v>..\..\Imagery\ScannedPhotos\1979\CG79-266.1.jpg</v>
      </c>
    </row>
    <row r="4705" spans="1:13" x14ac:dyDescent="0.25">
      <c r="A4705" t="s">
        <v>11033</v>
      </c>
      <c r="B4705">
        <v>463316</v>
      </c>
      <c r="C4705">
        <v>6056606</v>
      </c>
      <c r="D4705">
        <v>21</v>
      </c>
      <c r="E4705" t="s">
        <v>15</v>
      </c>
      <c r="F4705" t="s">
        <v>11036</v>
      </c>
      <c r="G4705">
        <v>3</v>
      </c>
      <c r="H4705" t="s">
        <v>696</v>
      </c>
      <c r="I4705" t="s">
        <v>647</v>
      </c>
      <c r="J4705" t="s">
        <v>355</v>
      </c>
      <c r="K4705" t="s">
        <v>20</v>
      </c>
      <c r="L4705" t="s">
        <v>11037</v>
      </c>
      <c r="M4705" s="3" t="str">
        <f>HYPERLINK("..\..\Imagery\ScannedPhotos\1979\CG79-266.2.jpg")</f>
        <v>..\..\Imagery\ScannedPhotos\1979\CG79-266.2.jpg</v>
      </c>
    </row>
    <row r="4706" spans="1:13" x14ac:dyDescent="0.25">
      <c r="A4706" t="s">
        <v>2731</v>
      </c>
      <c r="B4706">
        <v>579966</v>
      </c>
      <c r="C4706">
        <v>5850649</v>
      </c>
      <c r="D4706">
        <v>21</v>
      </c>
      <c r="E4706" t="s">
        <v>15</v>
      </c>
      <c r="F4706" t="s">
        <v>11038</v>
      </c>
      <c r="G4706">
        <v>18</v>
      </c>
      <c r="H4706" t="s">
        <v>2484</v>
      </c>
      <c r="I4706" t="s">
        <v>85</v>
      </c>
      <c r="J4706" t="s">
        <v>2485</v>
      </c>
      <c r="K4706" t="s">
        <v>20</v>
      </c>
      <c r="L4706" t="s">
        <v>11039</v>
      </c>
      <c r="M4706" s="3" t="str">
        <f>HYPERLINK("..\..\Imagery\ScannedPhotos\1986\CG86-528.9.jpg")</f>
        <v>..\..\Imagery\ScannedPhotos\1986\CG86-528.9.jpg</v>
      </c>
    </row>
    <row r="4707" spans="1:13" x14ac:dyDescent="0.25">
      <c r="A4707" t="s">
        <v>11040</v>
      </c>
      <c r="B4707">
        <v>323645</v>
      </c>
      <c r="C4707">
        <v>5859022</v>
      </c>
      <c r="D4707">
        <v>21</v>
      </c>
      <c r="E4707" t="s">
        <v>15</v>
      </c>
      <c r="F4707" t="s">
        <v>11041</v>
      </c>
      <c r="G4707">
        <v>1</v>
      </c>
      <c r="H4707" t="s">
        <v>7363</v>
      </c>
      <c r="I4707" t="s">
        <v>35</v>
      </c>
      <c r="J4707" t="s">
        <v>7364</v>
      </c>
      <c r="K4707" t="s">
        <v>228</v>
      </c>
      <c r="L4707" t="s">
        <v>11042</v>
      </c>
      <c r="M4707" s="3" t="str">
        <f>HYPERLINK("..\..\Imagery\ScannedPhotos\1998\CG98-151.jpg")</f>
        <v>..\..\Imagery\ScannedPhotos\1998\CG98-151.jpg</v>
      </c>
    </row>
    <row r="4708" spans="1:13" x14ac:dyDescent="0.25">
      <c r="A4708" t="s">
        <v>2353</v>
      </c>
      <c r="B4708">
        <v>537821</v>
      </c>
      <c r="C4708">
        <v>5728574</v>
      </c>
      <c r="D4708">
        <v>21</v>
      </c>
      <c r="E4708" t="s">
        <v>15</v>
      </c>
      <c r="F4708" t="s">
        <v>11043</v>
      </c>
      <c r="G4708">
        <v>4</v>
      </c>
      <c r="H4708" t="s">
        <v>2355</v>
      </c>
      <c r="I4708" t="s">
        <v>143</v>
      </c>
      <c r="J4708" t="s">
        <v>886</v>
      </c>
      <c r="K4708" t="s">
        <v>20</v>
      </c>
      <c r="L4708" t="s">
        <v>11044</v>
      </c>
      <c r="M4708" s="3" t="str">
        <f>HYPERLINK("..\..\Imagery\ScannedPhotos\1993\VN93-093.1.jpg")</f>
        <v>..\..\Imagery\ScannedPhotos\1993\VN93-093.1.jpg</v>
      </c>
    </row>
    <row r="4709" spans="1:13" x14ac:dyDescent="0.25">
      <c r="A4709" t="s">
        <v>3772</v>
      </c>
      <c r="B4709">
        <v>537251</v>
      </c>
      <c r="C4709">
        <v>5728181</v>
      </c>
      <c r="D4709">
        <v>21</v>
      </c>
      <c r="E4709" t="s">
        <v>15</v>
      </c>
      <c r="F4709" t="s">
        <v>11045</v>
      </c>
      <c r="G4709">
        <v>4</v>
      </c>
      <c r="H4709" t="s">
        <v>2355</v>
      </c>
      <c r="I4709" t="s">
        <v>401</v>
      </c>
      <c r="J4709" t="s">
        <v>886</v>
      </c>
      <c r="K4709" t="s">
        <v>20</v>
      </c>
      <c r="L4709" t="s">
        <v>3774</v>
      </c>
      <c r="M4709" s="3" t="str">
        <f>HYPERLINK("..\..\Imagery\ScannedPhotos\1993\VN93-095.4.jpg")</f>
        <v>..\..\Imagery\ScannedPhotos\1993\VN93-095.4.jpg</v>
      </c>
    </row>
    <row r="4710" spans="1:13" x14ac:dyDescent="0.25">
      <c r="A4710" t="s">
        <v>2150</v>
      </c>
      <c r="B4710">
        <v>572815</v>
      </c>
      <c r="C4710">
        <v>5876898</v>
      </c>
      <c r="D4710">
        <v>21</v>
      </c>
      <c r="E4710" t="s">
        <v>15</v>
      </c>
      <c r="F4710" t="s">
        <v>11046</v>
      </c>
      <c r="G4710">
        <v>6</v>
      </c>
      <c r="H4710" t="s">
        <v>1507</v>
      </c>
      <c r="I4710" t="s">
        <v>85</v>
      </c>
      <c r="J4710" t="s">
        <v>1508</v>
      </c>
      <c r="K4710" t="s">
        <v>20</v>
      </c>
      <c r="L4710" t="s">
        <v>4757</v>
      </c>
      <c r="M4710" s="3" t="str">
        <f>HYPERLINK("..\..\Imagery\ScannedPhotos\1985\GM85-476.4.jpg")</f>
        <v>..\..\Imagery\ScannedPhotos\1985\GM85-476.4.jpg</v>
      </c>
    </row>
    <row r="4711" spans="1:13" x14ac:dyDescent="0.25">
      <c r="A4711" t="s">
        <v>2150</v>
      </c>
      <c r="B4711">
        <v>572815</v>
      </c>
      <c r="C4711">
        <v>5876898</v>
      </c>
      <c r="D4711">
        <v>21</v>
      </c>
      <c r="E4711" t="s">
        <v>15</v>
      </c>
      <c r="F4711" t="s">
        <v>11047</v>
      </c>
      <c r="G4711">
        <v>6</v>
      </c>
      <c r="H4711" t="s">
        <v>1507</v>
      </c>
      <c r="I4711" t="s">
        <v>41</v>
      </c>
      <c r="J4711" t="s">
        <v>1508</v>
      </c>
      <c r="K4711" t="s">
        <v>20</v>
      </c>
      <c r="L4711" t="s">
        <v>2152</v>
      </c>
      <c r="M4711" s="3" t="str">
        <f>HYPERLINK("..\..\Imagery\ScannedPhotos\1985\GM85-476.3.jpg")</f>
        <v>..\..\Imagery\ScannedPhotos\1985\GM85-476.3.jpg</v>
      </c>
    </row>
    <row r="4712" spans="1:13" x14ac:dyDescent="0.25">
      <c r="A4712" t="s">
        <v>8663</v>
      </c>
      <c r="B4712">
        <v>482966</v>
      </c>
      <c r="C4712">
        <v>6035558</v>
      </c>
      <c r="D4712">
        <v>21</v>
      </c>
      <c r="E4712" t="s">
        <v>15</v>
      </c>
      <c r="F4712" t="s">
        <v>11048</v>
      </c>
      <c r="G4712">
        <v>5</v>
      </c>
      <c r="H4712" t="s">
        <v>4136</v>
      </c>
      <c r="I4712" t="s">
        <v>132</v>
      </c>
      <c r="J4712" t="s">
        <v>423</v>
      </c>
      <c r="K4712" t="s">
        <v>20</v>
      </c>
      <c r="L4712" t="s">
        <v>11049</v>
      </c>
      <c r="M4712" s="3" t="str">
        <f>HYPERLINK("..\..\Imagery\ScannedPhotos\1979\CG79-375.1.jpg")</f>
        <v>..\..\Imagery\ScannedPhotos\1979\CG79-375.1.jpg</v>
      </c>
    </row>
    <row r="4713" spans="1:13" x14ac:dyDescent="0.25">
      <c r="A4713" t="s">
        <v>8663</v>
      </c>
      <c r="B4713">
        <v>482966</v>
      </c>
      <c r="C4713">
        <v>6035558</v>
      </c>
      <c r="D4713">
        <v>21</v>
      </c>
      <c r="E4713" t="s">
        <v>15</v>
      </c>
      <c r="F4713" t="s">
        <v>11050</v>
      </c>
      <c r="G4713">
        <v>5</v>
      </c>
      <c r="H4713" t="s">
        <v>4136</v>
      </c>
      <c r="I4713" t="s">
        <v>129</v>
      </c>
      <c r="J4713" t="s">
        <v>423</v>
      </c>
      <c r="K4713" t="s">
        <v>20</v>
      </c>
      <c r="L4713" t="s">
        <v>11051</v>
      </c>
      <c r="M4713" s="3" t="str">
        <f>HYPERLINK("..\..\Imagery\ScannedPhotos\1979\CG79-375.2.jpg")</f>
        <v>..\..\Imagery\ScannedPhotos\1979\CG79-375.2.jpg</v>
      </c>
    </row>
    <row r="4714" spans="1:13" x14ac:dyDescent="0.25">
      <c r="A4714" t="s">
        <v>8663</v>
      </c>
      <c r="B4714">
        <v>482966</v>
      </c>
      <c r="C4714">
        <v>6035558</v>
      </c>
      <c r="D4714">
        <v>21</v>
      </c>
      <c r="E4714" t="s">
        <v>15</v>
      </c>
      <c r="F4714" t="s">
        <v>11052</v>
      </c>
      <c r="G4714">
        <v>5</v>
      </c>
      <c r="H4714" t="s">
        <v>4136</v>
      </c>
      <c r="I4714" t="s">
        <v>143</v>
      </c>
      <c r="J4714" t="s">
        <v>423</v>
      </c>
      <c r="K4714" t="s">
        <v>20</v>
      </c>
      <c r="L4714" t="s">
        <v>11053</v>
      </c>
      <c r="M4714" s="3" t="str">
        <f>HYPERLINK("..\..\Imagery\ScannedPhotos\1979\CG79-375.3.jpg")</f>
        <v>..\..\Imagery\ScannedPhotos\1979\CG79-375.3.jpg</v>
      </c>
    </row>
    <row r="4715" spans="1:13" x14ac:dyDescent="0.25">
      <c r="A4715" t="s">
        <v>8663</v>
      </c>
      <c r="B4715">
        <v>482966</v>
      </c>
      <c r="C4715">
        <v>6035558</v>
      </c>
      <c r="D4715">
        <v>21</v>
      </c>
      <c r="E4715" t="s">
        <v>15</v>
      </c>
      <c r="F4715" t="s">
        <v>11054</v>
      </c>
      <c r="G4715">
        <v>5</v>
      </c>
      <c r="H4715" t="s">
        <v>4136</v>
      </c>
      <c r="I4715" t="s">
        <v>147</v>
      </c>
      <c r="J4715" t="s">
        <v>423</v>
      </c>
      <c r="K4715" t="s">
        <v>20</v>
      </c>
      <c r="L4715" t="s">
        <v>11055</v>
      </c>
      <c r="M4715" s="3" t="str">
        <f>HYPERLINK("..\..\Imagery\ScannedPhotos\1979\CG79-375.4.jpg")</f>
        <v>..\..\Imagery\ScannedPhotos\1979\CG79-375.4.jpg</v>
      </c>
    </row>
    <row r="4716" spans="1:13" x14ac:dyDescent="0.25">
      <c r="A4716" t="s">
        <v>11056</v>
      </c>
      <c r="B4716">
        <v>481557</v>
      </c>
      <c r="C4716">
        <v>6034996</v>
      </c>
      <c r="D4716">
        <v>21</v>
      </c>
      <c r="E4716" t="s">
        <v>15</v>
      </c>
      <c r="F4716" t="s">
        <v>11057</v>
      </c>
      <c r="G4716">
        <v>1</v>
      </c>
      <c r="H4716" t="s">
        <v>4136</v>
      </c>
      <c r="I4716" t="s">
        <v>52</v>
      </c>
      <c r="J4716" t="s">
        <v>423</v>
      </c>
      <c r="K4716" t="s">
        <v>20</v>
      </c>
      <c r="L4716" t="s">
        <v>11058</v>
      </c>
      <c r="M4716" s="3" t="str">
        <f>HYPERLINK("..\..\Imagery\ScannedPhotos\1979\CG79-376.jpg")</f>
        <v>..\..\Imagery\ScannedPhotos\1979\CG79-376.jpg</v>
      </c>
    </row>
    <row r="4717" spans="1:13" x14ac:dyDescent="0.25">
      <c r="A4717" t="s">
        <v>11059</v>
      </c>
      <c r="B4717">
        <v>480334</v>
      </c>
      <c r="C4717">
        <v>6035861</v>
      </c>
      <c r="D4717">
        <v>21</v>
      </c>
      <c r="E4717" t="s">
        <v>15</v>
      </c>
      <c r="F4717" t="s">
        <v>11060</v>
      </c>
      <c r="G4717">
        <v>1</v>
      </c>
      <c r="I4717" t="s">
        <v>41</v>
      </c>
      <c r="J4717" t="s">
        <v>11061</v>
      </c>
      <c r="K4717" t="s">
        <v>20</v>
      </c>
      <c r="L4717" t="s">
        <v>11062</v>
      </c>
      <c r="M4717" s="3" t="str">
        <f>HYPERLINK("..\..\Imagery\ScannedPhotos\1979\CG79-377.jpg")</f>
        <v>..\..\Imagery\ScannedPhotos\1979\CG79-377.jpg</v>
      </c>
    </row>
    <row r="4718" spans="1:13" x14ac:dyDescent="0.25">
      <c r="A4718" t="s">
        <v>11063</v>
      </c>
      <c r="B4718">
        <v>480930</v>
      </c>
      <c r="C4718">
        <v>6036893</v>
      </c>
      <c r="D4718">
        <v>21</v>
      </c>
      <c r="E4718" t="s">
        <v>15</v>
      </c>
      <c r="F4718" t="s">
        <v>11064</v>
      </c>
      <c r="G4718">
        <v>1</v>
      </c>
      <c r="H4718" t="s">
        <v>4136</v>
      </c>
      <c r="I4718" t="s">
        <v>65</v>
      </c>
      <c r="J4718" t="s">
        <v>423</v>
      </c>
      <c r="K4718" t="s">
        <v>20</v>
      </c>
      <c r="L4718" t="s">
        <v>11065</v>
      </c>
      <c r="M4718" s="3" t="str">
        <f>HYPERLINK("..\..\Imagery\ScannedPhotos\1979\CG79-378.jpg")</f>
        <v>..\..\Imagery\ScannedPhotos\1979\CG79-378.jpg</v>
      </c>
    </row>
    <row r="4719" spans="1:13" x14ac:dyDescent="0.25">
      <c r="A4719" t="s">
        <v>11066</v>
      </c>
      <c r="B4719">
        <v>478987</v>
      </c>
      <c r="C4719">
        <v>6035345</v>
      </c>
      <c r="D4719">
        <v>21</v>
      </c>
      <c r="E4719" t="s">
        <v>15</v>
      </c>
      <c r="F4719" t="s">
        <v>11067</v>
      </c>
      <c r="G4719">
        <v>1</v>
      </c>
      <c r="H4719" t="s">
        <v>4136</v>
      </c>
      <c r="I4719" t="s">
        <v>401</v>
      </c>
      <c r="J4719" t="s">
        <v>423</v>
      </c>
      <c r="K4719" t="s">
        <v>20</v>
      </c>
      <c r="L4719" t="s">
        <v>11068</v>
      </c>
      <c r="M4719" s="3" t="str">
        <f>HYPERLINK("..\..\Imagery\ScannedPhotos\1979\CG79-381.jpg")</f>
        <v>..\..\Imagery\ScannedPhotos\1979\CG79-381.jpg</v>
      </c>
    </row>
    <row r="4720" spans="1:13" x14ac:dyDescent="0.25">
      <c r="A4720" t="s">
        <v>11069</v>
      </c>
      <c r="B4720">
        <v>539180</v>
      </c>
      <c r="C4720">
        <v>5929165</v>
      </c>
      <c r="D4720">
        <v>21</v>
      </c>
      <c r="E4720" t="s">
        <v>15</v>
      </c>
      <c r="F4720" t="s">
        <v>11070</v>
      </c>
      <c r="G4720">
        <v>1</v>
      </c>
      <c r="H4720" t="s">
        <v>3158</v>
      </c>
      <c r="I4720" t="s">
        <v>122</v>
      </c>
      <c r="J4720" t="s">
        <v>48</v>
      </c>
      <c r="K4720" t="s">
        <v>20</v>
      </c>
      <c r="L4720" t="s">
        <v>11071</v>
      </c>
      <c r="M4720" s="3" t="str">
        <f>HYPERLINK("..\..\Imagery\ScannedPhotos\1981\VO81-342.jpg")</f>
        <v>..\..\Imagery\ScannedPhotos\1981\VO81-342.jpg</v>
      </c>
    </row>
    <row r="4721" spans="1:13" x14ac:dyDescent="0.25">
      <c r="A4721" t="s">
        <v>11072</v>
      </c>
      <c r="B4721">
        <v>537875</v>
      </c>
      <c r="C4721">
        <v>5932050</v>
      </c>
      <c r="D4721">
        <v>21</v>
      </c>
      <c r="E4721" t="s">
        <v>15</v>
      </c>
      <c r="F4721" t="s">
        <v>11073</v>
      </c>
      <c r="G4721">
        <v>1</v>
      </c>
      <c r="H4721" t="s">
        <v>5792</v>
      </c>
      <c r="I4721" t="s">
        <v>137</v>
      </c>
      <c r="J4721" t="s">
        <v>48</v>
      </c>
      <c r="K4721" t="s">
        <v>20</v>
      </c>
      <c r="L4721" t="s">
        <v>11074</v>
      </c>
      <c r="M4721" s="3" t="str">
        <f>HYPERLINK("..\..\Imagery\ScannedPhotos\1981\VO81-357.jpg")</f>
        <v>..\..\Imagery\ScannedPhotos\1981\VO81-357.jpg</v>
      </c>
    </row>
    <row r="4722" spans="1:13" x14ac:dyDescent="0.25">
      <c r="A4722" t="s">
        <v>11075</v>
      </c>
      <c r="B4722">
        <v>567324</v>
      </c>
      <c r="C4722">
        <v>5931797</v>
      </c>
      <c r="D4722">
        <v>21</v>
      </c>
      <c r="E4722" t="s">
        <v>15</v>
      </c>
      <c r="F4722" t="s">
        <v>11076</v>
      </c>
      <c r="G4722">
        <v>4</v>
      </c>
      <c r="H4722" t="s">
        <v>1582</v>
      </c>
      <c r="I4722" t="s">
        <v>304</v>
      </c>
      <c r="J4722" t="s">
        <v>1583</v>
      </c>
      <c r="K4722" t="s">
        <v>20</v>
      </c>
      <c r="L4722" t="s">
        <v>11077</v>
      </c>
      <c r="M4722" s="3" t="str">
        <f>HYPERLINK("..\..\Imagery\ScannedPhotos\1985\GM85-662.4.jpg")</f>
        <v>..\..\Imagery\ScannedPhotos\1985\GM85-662.4.jpg</v>
      </c>
    </row>
    <row r="4723" spans="1:13" x14ac:dyDescent="0.25">
      <c r="A4723" t="s">
        <v>11075</v>
      </c>
      <c r="B4723">
        <v>567324</v>
      </c>
      <c r="C4723">
        <v>5931797</v>
      </c>
      <c r="D4723">
        <v>21</v>
      </c>
      <c r="E4723" t="s">
        <v>15</v>
      </c>
      <c r="F4723" t="s">
        <v>11078</v>
      </c>
      <c r="G4723">
        <v>4</v>
      </c>
      <c r="H4723" t="s">
        <v>1582</v>
      </c>
      <c r="I4723" t="s">
        <v>418</v>
      </c>
      <c r="J4723" t="s">
        <v>1583</v>
      </c>
      <c r="K4723" t="s">
        <v>20</v>
      </c>
      <c r="L4723" t="s">
        <v>11077</v>
      </c>
      <c r="M4723" s="3" t="str">
        <f>HYPERLINK("..\..\Imagery\ScannedPhotos\1985\GM85-662.3.jpg")</f>
        <v>..\..\Imagery\ScannedPhotos\1985\GM85-662.3.jpg</v>
      </c>
    </row>
    <row r="4724" spans="1:13" x14ac:dyDescent="0.25">
      <c r="A4724" t="s">
        <v>11075</v>
      </c>
      <c r="B4724">
        <v>567324</v>
      </c>
      <c r="C4724">
        <v>5931797</v>
      </c>
      <c r="D4724">
        <v>21</v>
      </c>
      <c r="E4724" t="s">
        <v>15</v>
      </c>
      <c r="F4724" t="s">
        <v>11079</v>
      </c>
      <c r="G4724">
        <v>4</v>
      </c>
      <c r="H4724" t="s">
        <v>1582</v>
      </c>
      <c r="I4724" t="s">
        <v>222</v>
      </c>
      <c r="J4724" t="s">
        <v>1583</v>
      </c>
      <c r="K4724" t="s">
        <v>20</v>
      </c>
      <c r="L4724" t="s">
        <v>11080</v>
      </c>
      <c r="M4724" s="3" t="str">
        <f>HYPERLINK("..\..\Imagery\ScannedPhotos\1985\GM85-662.2.jpg")</f>
        <v>..\..\Imagery\ScannedPhotos\1985\GM85-662.2.jpg</v>
      </c>
    </row>
    <row r="4725" spans="1:13" x14ac:dyDescent="0.25">
      <c r="A4725" t="s">
        <v>11075</v>
      </c>
      <c r="B4725">
        <v>567324</v>
      </c>
      <c r="C4725">
        <v>5931797</v>
      </c>
      <c r="D4725">
        <v>21</v>
      </c>
      <c r="E4725" t="s">
        <v>15</v>
      </c>
      <c r="F4725" t="s">
        <v>11081</v>
      </c>
      <c r="G4725">
        <v>4</v>
      </c>
      <c r="H4725" t="s">
        <v>1582</v>
      </c>
      <c r="I4725" t="s">
        <v>214</v>
      </c>
      <c r="J4725" t="s">
        <v>1583</v>
      </c>
      <c r="K4725" t="s">
        <v>20</v>
      </c>
      <c r="L4725" t="s">
        <v>11080</v>
      </c>
      <c r="M4725" s="3" t="str">
        <f>HYPERLINK("..\..\Imagery\ScannedPhotos\1985\GM85-662.1.jpg")</f>
        <v>..\..\Imagery\ScannedPhotos\1985\GM85-662.1.jpg</v>
      </c>
    </row>
    <row r="4726" spans="1:13" x14ac:dyDescent="0.25">
      <c r="A4726" t="s">
        <v>11082</v>
      </c>
      <c r="B4726">
        <v>569196</v>
      </c>
      <c r="C4726">
        <v>5848801</v>
      </c>
      <c r="D4726">
        <v>21</v>
      </c>
      <c r="E4726" t="s">
        <v>15</v>
      </c>
      <c r="F4726" t="s">
        <v>11083</v>
      </c>
      <c r="G4726">
        <v>1</v>
      </c>
      <c r="H4726" t="s">
        <v>2130</v>
      </c>
      <c r="I4726" t="s">
        <v>147</v>
      </c>
      <c r="J4726" t="s">
        <v>300</v>
      </c>
      <c r="K4726" t="s">
        <v>20</v>
      </c>
      <c r="L4726" t="s">
        <v>11084</v>
      </c>
      <c r="M4726" s="3" t="str">
        <f>HYPERLINK("..\..\Imagery\ScannedPhotos\1986\JS86-428.jpg")</f>
        <v>..\..\Imagery\ScannedPhotos\1986\JS86-428.jpg</v>
      </c>
    </row>
    <row r="4727" spans="1:13" x14ac:dyDescent="0.25">
      <c r="A4727" t="s">
        <v>1403</v>
      </c>
      <c r="B4727">
        <v>537298</v>
      </c>
      <c r="C4727">
        <v>5961593</v>
      </c>
      <c r="D4727">
        <v>21</v>
      </c>
      <c r="E4727" t="s">
        <v>15</v>
      </c>
      <c r="F4727" t="s">
        <v>11085</v>
      </c>
      <c r="G4727">
        <v>31</v>
      </c>
      <c r="H4727" t="s">
        <v>1405</v>
      </c>
      <c r="I4727" t="s">
        <v>129</v>
      </c>
      <c r="J4727" t="s">
        <v>48</v>
      </c>
      <c r="K4727" t="s">
        <v>20</v>
      </c>
      <c r="L4727" t="s">
        <v>1985</v>
      </c>
      <c r="M4727" s="3" t="str">
        <f>HYPERLINK("..\..\Imagery\ScannedPhotos\1981\CG81-306.11.jpg")</f>
        <v>..\..\Imagery\ScannedPhotos\1981\CG81-306.11.jpg</v>
      </c>
    </row>
    <row r="4728" spans="1:13" x14ac:dyDescent="0.25">
      <c r="A4728" t="s">
        <v>1403</v>
      </c>
      <c r="B4728">
        <v>537298</v>
      </c>
      <c r="C4728">
        <v>5961593</v>
      </c>
      <c r="D4728">
        <v>21</v>
      </c>
      <c r="E4728" t="s">
        <v>15</v>
      </c>
      <c r="F4728" t="s">
        <v>11086</v>
      </c>
      <c r="G4728">
        <v>31</v>
      </c>
      <c r="H4728" t="s">
        <v>2084</v>
      </c>
      <c r="I4728" t="s">
        <v>147</v>
      </c>
      <c r="J4728" t="s">
        <v>1014</v>
      </c>
      <c r="K4728" t="s">
        <v>20</v>
      </c>
      <c r="L4728" t="s">
        <v>11087</v>
      </c>
      <c r="M4728" s="3" t="str">
        <f>HYPERLINK("..\..\Imagery\ScannedPhotos\1981\CG81-306.28.jpg")</f>
        <v>..\..\Imagery\ScannedPhotos\1981\CG81-306.28.jpg</v>
      </c>
    </row>
    <row r="4729" spans="1:13" x14ac:dyDescent="0.25">
      <c r="A4729" t="s">
        <v>9117</v>
      </c>
      <c r="B4729">
        <v>343243</v>
      </c>
      <c r="C4729">
        <v>5812334</v>
      </c>
      <c r="D4729">
        <v>21</v>
      </c>
      <c r="E4729" t="s">
        <v>15</v>
      </c>
      <c r="F4729" t="s">
        <v>11088</v>
      </c>
      <c r="G4729">
        <v>7</v>
      </c>
      <c r="H4729" t="s">
        <v>2236</v>
      </c>
      <c r="I4729" t="s">
        <v>401</v>
      </c>
      <c r="J4729" t="s">
        <v>80</v>
      </c>
      <c r="K4729" t="s">
        <v>20</v>
      </c>
      <c r="L4729" t="s">
        <v>11089</v>
      </c>
      <c r="M4729" s="3" t="str">
        <f>HYPERLINK("..\..\Imagery\ScannedPhotos\2000\CG00-319.7.jpg")</f>
        <v>..\..\Imagery\ScannedPhotos\2000\CG00-319.7.jpg</v>
      </c>
    </row>
    <row r="4730" spans="1:13" x14ac:dyDescent="0.25">
      <c r="A4730" t="s">
        <v>9977</v>
      </c>
      <c r="B4730">
        <v>596770</v>
      </c>
      <c r="C4730">
        <v>5792495</v>
      </c>
      <c r="D4730">
        <v>21</v>
      </c>
      <c r="E4730" t="s">
        <v>15</v>
      </c>
      <c r="F4730" t="s">
        <v>11090</v>
      </c>
      <c r="G4730">
        <v>2</v>
      </c>
      <c r="H4730" t="s">
        <v>1650</v>
      </c>
      <c r="I4730" t="s">
        <v>74</v>
      </c>
      <c r="J4730" t="s">
        <v>1651</v>
      </c>
      <c r="K4730" t="s">
        <v>56</v>
      </c>
      <c r="L4730" t="s">
        <v>9979</v>
      </c>
      <c r="M4730" s="3" t="str">
        <f>HYPERLINK("..\..\Imagery\ScannedPhotos\1987\CG87-489.1.jpg")</f>
        <v>..\..\Imagery\ScannedPhotos\1987\CG87-489.1.jpg</v>
      </c>
    </row>
    <row r="4731" spans="1:13" x14ac:dyDescent="0.25">
      <c r="A4731" t="s">
        <v>4664</v>
      </c>
      <c r="B4731">
        <v>446516</v>
      </c>
      <c r="C4731">
        <v>5910631</v>
      </c>
      <c r="D4731">
        <v>21</v>
      </c>
      <c r="E4731" t="s">
        <v>15</v>
      </c>
      <c r="F4731" t="s">
        <v>11091</v>
      </c>
      <c r="G4731">
        <v>4</v>
      </c>
      <c r="H4731" t="s">
        <v>155</v>
      </c>
      <c r="I4731" t="s">
        <v>217</v>
      </c>
      <c r="J4731" t="s">
        <v>156</v>
      </c>
      <c r="K4731" t="s">
        <v>20</v>
      </c>
      <c r="L4731" t="s">
        <v>11092</v>
      </c>
      <c r="M4731" s="3" t="str">
        <f>HYPERLINK("..\..\Imagery\ScannedPhotos\1984\NN84-105.1.jpg")</f>
        <v>..\..\Imagery\ScannedPhotos\1984\NN84-105.1.jpg</v>
      </c>
    </row>
    <row r="4732" spans="1:13" x14ac:dyDescent="0.25">
      <c r="A4732" t="s">
        <v>6057</v>
      </c>
      <c r="B4732">
        <v>404232</v>
      </c>
      <c r="C4732">
        <v>6000130</v>
      </c>
      <c r="D4732">
        <v>21</v>
      </c>
      <c r="E4732" t="s">
        <v>15</v>
      </c>
      <c r="F4732" t="s">
        <v>11093</v>
      </c>
      <c r="G4732">
        <v>7</v>
      </c>
      <c r="H4732" t="s">
        <v>1156</v>
      </c>
      <c r="I4732" t="s">
        <v>18</v>
      </c>
      <c r="J4732" t="s">
        <v>95</v>
      </c>
      <c r="K4732" t="s">
        <v>20</v>
      </c>
      <c r="L4732" t="s">
        <v>11094</v>
      </c>
      <c r="M4732" s="3" t="str">
        <f>HYPERLINK("..\..\Imagery\ScannedPhotos\1980\CG80-113.6.jpg")</f>
        <v>..\..\Imagery\ScannedPhotos\1980\CG80-113.6.jpg</v>
      </c>
    </row>
    <row r="4733" spans="1:13" x14ac:dyDescent="0.25">
      <c r="A4733" t="s">
        <v>6057</v>
      </c>
      <c r="B4733">
        <v>404232</v>
      </c>
      <c r="C4733">
        <v>6000130</v>
      </c>
      <c r="D4733">
        <v>21</v>
      </c>
      <c r="E4733" t="s">
        <v>15</v>
      </c>
      <c r="F4733" t="s">
        <v>11095</v>
      </c>
      <c r="G4733">
        <v>7</v>
      </c>
      <c r="H4733" t="s">
        <v>1156</v>
      </c>
      <c r="I4733" t="s">
        <v>281</v>
      </c>
      <c r="J4733" t="s">
        <v>95</v>
      </c>
      <c r="K4733" t="s">
        <v>20</v>
      </c>
      <c r="L4733" t="s">
        <v>11096</v>
      </c>
      <c r="M4733" s="3" t="str">
        <f>HYPERLINK("..\..\Imagery\ScannedPhotos\1980\CG80-113.4.jpg")</f>
        <v>..\..\Imagery\ScannedPhotos\1980\CG80-113.4.jpg</v>
      </c>
    </row>
    <row r="4734" spans="1:13" x14ac:dyDescent="0.25">
      <c r="A4734" t="s">
        <v>11097</v>
      </c>
      <c r="B4734">
        <v>579000</v>
      </c>
      <c r="C4734">
        <v>5760720</v>
      </c>
      <c r="D4734">
        <v>21</v>
      </c>
      <c r="E4734" t="s">
        <v>15</v>
      </c>
      <c r="F4734" t="s">
        <v>11098</v>
      </c>
      <c r="G4734">
        <v>9</v>
      </c>
      <c r="H4734" t="s">
        <v>1171</v>
      </c>
      <c r="I4734" t="s">
        <v>41</v>
      </c>
      <c r="J4734" t="s">
        <v>563</v>
      </c>
      <c r="K4734" t="s">
        <v>228</v>
      </c>
      <c r="L4734" t="s">
        <v>11099</v>
      </c>
      <c r="M4734" s="3" t="str">
        <f>HYPERLINK("..\..\Imagery\ScannedPhotos\1987\CG87-484.8.jpg")</f>
        <v>..\..\Imagery\ScannedPhotos\1987\CG87-484.8.jpg</v>
      </c>
    </row>
    <row r="4735" spans="1:13" x14ac:dyDescent="0.25">
      <c r="A4735" t="s">
        <v>11097</v>
      </c>
      <c r="B4735">
        <v>579000</v>
      </c>
      <c r="C4735">
        <v>5760720</v>
      </c>
      <c r="D4735">
        <v>21</v>
      </c>
      <c r="E4735" t="s">
        <v>15</v>
      </c>
      <c r="F4735" t="s">
        <v>11100</v>
      </c>
      <c r="G4735">
        <v>9</v>
      </c>
      <c r="H4735" t="s">
        <v>1171</v>
      </c>
      <c r="I4735" t="s">
        <v>74</v>
      </c>
      <c r="J4735" t="s">
        <v>563</v>
      </c>
      <c r="K4735" t="s">
        <v>228</v>
      </c>
      <c r="L4735" t="s">
        <v>11101</v>
      </c>
      <c r="M4735" s="3" t="str">
        <f>HYPERLINK("..\..\Imagery\ScannedPhotos\1987\CG87-484.7.jpg")</f>
        <v>..\..\Imagery\ScannedPhotos\1987\CG87-484.7.jpg</v>
      </c>
    </row>
    <row r="4736" spans="1:13" x14ac:dyDescent="0.25">
      <c r="A4736" t="s">
        <v>11097</v>
      </c>
      <c r="B4736">
        <v>579000</v>
      </c>
      <c r="C4736">
        <v>5760720</v>
      </c>
      <c r="D4736">
        <v>21</v>
      </c>
      <c r="E4736" t="s">
        <v>15</v>
      </c>
      <c r="F4736" t="s">
        <v>11102</v>
      </c>
      <c r="G4736">
        <v>9</v>
      </c>
      <c r="H4736" t="s">
        <v>34</v>
      </c>
      <c r="I4736" t="s">
        <v>647</v>
      </c>
      <c r="J4736" t="s">
        <v>36</v>
      </c>
      <c r="K4736" t="s">
        <v>20</v>
      </c>
      <c r="L4736" t="s">
        <v>11103</v>
      </c>
      <c r="M4736" s="3" t="str">
        <f>HYPERLINK("..\..\Imagery\ScannedPhotos\1987\CG87-484.1.jpg")</f>
        <v>..\..\Imagery\ScannedPhotos\1987\CG87-484.1.jpg</v>
      </c>
    </row>
    <row r="4737" spans="1:13" x14ac:dyDescent="0.25">
      <c r="A4737" t="s">
        <v>11104</v>
      </c>
      <c r="B4737">
        <v>562287</v>
      </c>
      <c r="C4737">
        <v>5822681</v>
      </c>
      <c r="D4737">
        <v>21</v>
      </c>
      <c r="E4737" t="s">
        <v>15</v>
      </c>
      <c r="F4737" t="s">
        <v>11105</v>
      </c>
      <c r="G4737">
        <v>2</v>
      </c>
      <c r="H4737" t="s">
        <v>2291</v>
      </c>
      <c r="I4737" t="s">
        <v>94</v>
      </c>
      <c r="J4737" t="s">
        <v>2292</v>
      </c>
      <c r="K4737" t="s">
        <v>20</v>
      </c>
      <c r="L4737" t="s">
        <v>71</v>
      </c>
      <c r="M4737" s="3" t="str">
        <f>HYPERLINK("..\..\Imagery\ScannedPhotos\1986\SN86-438.1.jpg")</f>
        <v>..\..\Imagery\ScannedPhotos\1986\SN86-438.1.jpg</v>
      </c>
    </row>
    <row r="4738" spans="1:13" x14ac:dyDescent="0.25">
      <c r="A4738" t="s">
        <v>4176</v>
      </c>
      <c r="B4738">
        <v>459260</v>
      </c>
      <c r="C4738">
        <v>5873397</v>
      </c>
      <c r="D4738">
        <v>21</v>
      </c>
      <c r="E4738" t="s">
        <v>15</v>
      </c>
      <c r="F4738" t="s">
        <v>11106</v>
      </c>
      <c r="G4738">
        <v>2</v>
      </c>
      <c r="H4738" t="s">
        <v>2895</v>
      </c>
      <c r="I4738" t="s">
        <v>69</v>
      </c>
      <c r="J4738" t="s">
        <v>2896</v>
      </c>
      <c r="K4738" t="s">
        <v>20</v>
      </c>
      <c r="L4738" t="s">
        <v>4178</v>
      </c>
      <c r="M4738" s="3" t="str">
        <f>HYPERLINK("..\..\Imagery\ScannedPhotos\1984\CG84-307.1.jpg")</f>
        <v>..\..\Imagery\ScannedPhotos\1984\CG84-307.1.jpg</v>
      </c>
    </row>
    <row r="4739" spans="1:13" x14ac:dyDescent="0.25">
      <c r="A4739" t="s">
        <v>6703</v>
      </c>
      <c r="B4739">
        <v>494374</v>
      </c>
      <c r="C4739">
        <v>5945332</v>
      </c>
      <c r="D4739">
        <v>21</v>
      </c>
      <c r="E4739" t="s">
        <v>15</v>
      </c>
      <c r="F4739" t="s">
        <v>11107</v>
      </c>
      <c r="G4739">
        <v>3</v>
      </c>
      <c r="H4739" t="s">
        <v>443</v>
      </c>
      <c r="I4739" t="s">
        <v>386</v>
      </c>
      <c r="J4739" t="s">
        <v>48</v>
      </c>
      <c r="K4739" t="s">
        <v>935</v>
      </c>
      <c r="L4739" t="s">
        <v>11108</v>
      </c>
      <c r="M4739" s="3" t="str">
        <f>HYPERLINK("..\..\Imagery\ScannedPhotos\1981\CG81-046.3.jpg")</f>
        <v>..\..\Imagery\ScannedPhotos\1981\CG81-046.3.jpg</v>
      </c>
    </row>
    <row r="4740" spans="1:13" x14ac:dyDescent="0.25">
      <c r="A4740" t="s">
        <v>2898</v>
      </c>
      <c r="B4740">
        <v>458760</v>
      </c>
      <c r="C4740">
        <v>5963300</v>
      </c>
      <c r="D4740">
        <v>21</v>
      </c>
      <c r="E4740" t="s">
        <v>15</v>
      </c>
      <c r="F4740" t="s">
        <v>11109</v>
      </c>
      <c r="G4740">
        <v>3</v>
      </c>
      <c r="H4740" t="s">
        <v>1188</v>
      </c>
      <c r="I4740" t="s">
        <v>85</v>
      </c>
      <c r="J4740" t="s">
        <v>48</v>
      </c>
      <c r="K4740" t="s">
        <v>935</v>
      </c>
      <c r="L4740" t="s">
        <v>11110</v>
      </c>
      <c r="M4740" s="3" t="str">
        <f>HYPERLINK("..\..\Imagery\ScannedPhotos\1981\CG81-239.1.jpg")</f>
        <v>..\..\Imagery\ScannedPhotos\1981\CG81-239.1.jpg</v>
      </c>
    </row>
    <row r="4741" spans="1:13" x14ac:dyDescent="0.25">
      <c r="A4741" t="s">
        <v>11111</v>
      </c>
      <c r="B4741">
        <v>596666</v>
      </c>
      <c r="C4741">
        <v>5792168</v>
      </c>
      <c r="D4741">
        <v>21</v>
      </c>
      <c r="E4741" t="s">
        <v>15</v>
      </c>
      <c r="F4741" t="s">
        <v>11112</v>
      </c>
      <c r="G4741">
        <v>1</v>
      </c>
      <c r="K4741" t="s">
        <v>228</v>
      </c>
      <c r="L4741" t="s">
        <v>11113</v>
      </c>
      <c r="M4741" s="3" t="str">
        <f>HYPERLINK("..\..\Imagery\ScannedPhotos\2007\CG07-164.jpg")</f>
        <v>..\..\Imagery\ScannedPhotos\2007\CG07-164.jpg</v>
      </c>
    </row>
    <row r="4742" spans="1:13" x14ac:dyDescent="0.25">
      <c r="A4742" t="s">
        <v>7752</v>
      </c>
      <c r="B4742">
        <v>497749</v>
      </c>
      <c r="C4742">
        <v>5792297</v>
      </c>
      <c r="D4742">
        <v>21</v>
      </c>
      <c r="E4742" t="s">
        <v>15</v>
      </c>
      <c r="F4742" t="s">
        <v>11114</v>
      </c>
      <c r="G4742">
        <v>2</v>
      </c>
      <c r="H4742" t="s">
        <v>2340</v>
      </c>
      <c r="I4742" t="s">
        <v>119</v>
      </c>
      <c r="J4742" t="s">
        <v>2341</v>
      </c>
      <c r="K4742" t="s">
        <v>20</v>
      </c>
      <c r="L4742" t="s">
        <v>11115</v>
      </c>
      <c r="M4742" s="3" t="str">
        <f>HYPERLINK("..\..\Imagery\ScannedPhotos\1992\HP92-090.1.jpg")</f>
        <v>..\..\Imagery\ScannedPhotos\1992\HP92-090.1.jpg</v>
      </c>
    </row>
    <row r="4743" spans="1:13" x14ac:dyDescent="0.25">
      <c r="A4743" t="s">
        <v>11116</v>
      </c>
      <c r="B4743">
        <v>497964</v>
      </c>
      <c r="C4743">
        <v>5793072</v>
      </c>
      <c r="D4743">
        <v>21</v>
      </c>
      <c r="E4743" t="s">
        <v>15</v>
      </c>
      <c r="F4743" t="s">
        <v>11117</v>
      </c>
      <c r="G4743">
        <v>3</v>
      </c>
      <c r="H4743" t="s">
        <v>2340</v>
      </c>
      <c r="I4743" t="s">
        <v>108</v>
      </c>
      <c r="J4743" t="s">
        <v>2341</v>
      </c>
      <c r="K4743" t="s">
        <v>56</v>
      </c>
      <c r="L4743" t="s">
        <v>2039</v>
      </c>
      <c r="M4743" s="3" t="str">
        <f>HYPERLINK("..\..\Imagery\ScannedPhotos\1992\HP92-093.2.jpg")</f>
        <v>..\..\Imagery\ScannedPhotos\1992\HP92-093.2.jpg</v>
      </c>
    </row>
    <row r="4744" spans="1:13" x14ac:dyDescent="0.25">
      <c r="A4744" t="s">
        <v>11116</v>
      </c>
      <c r="B4744">
        <v>497964</v>
      </c>
      <c r="C4744">
        <v>5793072</v>
      </c>
      <c r="D4744">
        <v>21</v>
      </c>
      <c r="E4744" t="s">
        <v>15</v>
      </c>
      <c r="F4744" t="s">
        <v>11118</v>
      </c>
      <c r="G4744">
        <v>3</v>
      </c>
      <c r="H4744" t="s">
        <v>2340</v>
      </c>
      <c r="I4744" t="s">
        <v>132</v>
      </c>
      <c r="J4744" t="s">
        <v>2341</v>
      </c>
      <c r="K4744" t="s">
        <v>56</v>
      </c>
      <c r="L4744" t="s">
        <v>2039</v>
      </c>
      <c r="M4744" s="3" t="str">
        <f>HYPERLINK("..\..\Imagery\ScannedPhotos\1992\HP92-093.3.jpg")</f>
        <v>..\..\Imagery\ScannedPhotos\1992\HP92-093.3.jpg</v>
      </c>
    </row>
    <row r="4745" spans="1:13" x14ac:dyDescent="0.25">
      <c r="A4745" t="s">
        <v>11116</v>
      </c>
      <c r="B4745">
        <v>497964</v>
      </c>
      <c r="C4745">
        <v>5793072</v>
      </c>
      <c r="D4745">
        <v>21</v>
      </c>
      <c r="E4745" t="s">
        <v>15</v>
      </c>
      <c r="F4745" t="s">
        <v>11119</v>
      </c>
      <c r="G4745">
        <v>3</v>
      </c>
      <c r="H4745" t="s">
        <v>2340</v>
      </c>
      <c r="I4745" t="s">
        <v>126</v>
      </c>
      <c r="J4745" t="s">
        <v>2341</v>
      </c>
      <c r="K4745" t="s">
        <v>56</v>
      </c>
      <c r="L4745" t="s">
        <v>2039</v>
      </c>
      <c r="M4745" s="3" t="str">
        <f>HYPERLINK("..\..\Imagery\ScannedPhotos\1992\HP92-093.1.jpg")</f>
        <v>..\..\Imagery\ScannedPhotos\1992\HP92-093.1.jpg</v>
      </c>
    </row>
    <row r="4746" spans="1:13" x14ac:dyDescent="0.25">
      <c r="A4746" t="s">
        <v>11120</v>
      </c>
      <c r="B4746">
        <v>460825</v>
      </c>
      <c r="C4746">
        <v>5809283</v>
      </c>
      <c r="D4746">
        <v>21</v>
      </c>
      <c r="E4746" t="s">
        <v>15</v>
      </c>
      <c r="F4746" t="s">
        <v>11121</v>
      </c>
      <c r="G4746">
        <v>2</v>
      </c>
      <c r="H4746" t="s">
        <v>2340</v>
      </c>
      <c r="I4746" t="s">
        <v>143</v>
      </c>
      <c r="J4746" t="s">
        <v>2341</v>
      </c>
      <c r="K4746" t="s">
        <v>56</v>
      </c>
      <c r="L4746" t="s">
        <v>11122</v>
      </c>
      <c r="M4746" s="3" t="str">
        <f>HYPERLINK("..\..\Imagery\ScannedPhotos\1992\HP92-107.2.jpg")</f>
        <v>..\..\Imagery\ScannedPhotos\1992\HP92-107.2.jpg</v>
      </c>
    </row>
    <row r="4747" spans="1:13" x14ac:dyDescent="0.25">
      <c r="A4747" t="s">
        <v>11120</v>
      </c>
      <c r="B4747">
        <v>460825</v>
      </c>
      <c r="C4747">
        <v>5809283</v>
      </c>
      <c r="D4747">
        <v>21</v>
      </c>
      <c r="E4747" t="s">
        <v>15</v>
      </c>
      <c r="F4747" t="s">
        <v>11123</v>
      </c>
      <c r="G4747">
        <v>2</v>
      </c>
      <c r="H4747" t="s">
        <v>2340</v>
      </c>
      <c r="I4747" t="s">
        <v>129</v>
      </c>
      <c r="J4747" t="s">
        <v>2341</v>
      </c>
      <c r="K4747" t="s">
        <v>56</v>
      </c>
      <c r="L4747" t="s">
        <v>11122</v>
      </c>
      <c r="M4747" s="3" t="str">
        <f>HYPERLINK("..\..\Imagery\ScannedPhotos\1992\HP92-107.1.jpg")</f>
        <v>..\..\Imagery\ScannedPhotos\1992\HP92-107.1.jpg</v>
      </c>
    </row>
    <row r="4748" spans="1:13" x14ac:dyDescent="0.25">
      <c r="A4748" t="s">
        <v>11124</v>
      </c>
      <c r="B4748">
        <v>459000</v>
      </c>
      <c r="C4748">
        <v>5809295</v>
      </c>
      <c r="D4748">
        <v>21</v>
      </c>
      <c r="E4748" t="s">
        <v>15</v>
      </c>
      <c r="F4748" t="s">
        <v>11125</v>
      </c>
      <c r="G4748">
        <v>1</v>
      </c>
      <c r="H4748" t="s">
        <v>2340</v>
      </c>
      <c r="I4748" t="s">
        <v>147</v>
      </c>
      <c r="J4748" t="s">
        <v>2341</v>
      </c>
      <c r="K4748" t="s">
        <v>20</v>
      </c>
      <c r="L4748" t="s">
        <v>11126</v>
      </c>
      <c r="M4748" s="3" t="str">
        <f>HYPERLINK("..\..\Imagery\ScannedPhotos\1992\HP92-111.jpg")</f>
        <v>..\..\Imagery\ScannedPhotos\1992\HP92-111.jpg</v>
      </c>
    </row>
    <row r="4749" spans="1:13" x14ac:dyDescent="0.25">
      <c r="A4749" t="s">
        <v>11127</v>
      </c>
      <c r="B4749">
        <v>434910</v>
      </c>
      <c r="C4749">
        <v>5794700</v>
      </c>
      <c r="D4749">
        <v>21</v>
      </c>
      <c r="E4749" t="s">
        <v>15</v>
      </c>
      <c r="F4749" t="s">
        <v>11128</v>
      </c>
      <c r="G4749">
        <v>1</v>
      </c>
      <c r="H4749" t="s">
        <v>2340</v>
      </c>
      <c r="I4749" t="s">
        <v>47</v>
      </c>
      <c r="J4749" t="s">
        <v>2341</v>
      </c>
      <c r="K4749" t="s">
        <v>20</v>
      </c>
      <c r="L4749" t="s">
        <v>3032</v>
      </c>
      <c r="M4749" s="3" t="str">
        <f>HYPERLINK("..\..\Imagery\ScannedPhotos\1992\HP92-127.jpg")</f>
        <v>..\..\Imagery\ScannedPhotos\1992\HP92-127.jpg</v>
      </c>
    </row>
    <row r="4750" spans="1:13" x14ac:dyDescent="0.25">
      <c r="A4750" t="s">
        <v>10867</v>
      </c>
      <c r="B4750">
        <v>434890</v>
      </c>
      <c r="C4750">
        <v>5794395</v>
      </c>
      <c r="D4750">
        <v>21</v>
      </c>
      <c r="E4750" t="s">
        <v>15</v>
      </c>
      <c r="F4750" t="s">
        <v>11129</v>
      </c>
      <c r="G4750">
        <v>2</v>
      </c>
      <c r="H4750" t="s">
        <v>2340</v>
      </c>
      <c r="I4750" t="s">
        <v>65</v>
      </c>
      <c r="J4750" t="s">
        <v>2341</v>
      </c>
      <c r="K4750" t="s">
        <v>56</v>
      </c>
      <c r="L4750" t="s">
        <v>6604</v>
      </c>
      <c r="M4750" s="3" t="str">
        <f>HYPERLINK("..\..\Imagery\ScannedPhotos\1992\HP92-128.2.jpg")</f>
        <v>..\..\Imagery\ScannedPhotos\1992\HP92-128.2.jpg</v>
      </c>
    </row>
    <row r="4751" spans="1:13" x14ac:dyDescent="0.25">
      <c r="A4751" t="s">
        <v>11130</v>
      </c>
      <c r="B4751">
        <v>483310</v>
      </c>
      <c r="C4751">
        <v>5811449</v>
      </c>
      <c r="D4751">
        <v>21</v>
      </c>
      <c r="E4751" t="s">
        <v>15</v>
      </c>
      <c r="F4751" t="s">
        <v>11131</v>
      </c>
      <c r="G4751">
        <v>2</v>
      </c>
      <c r="H4751" t="s">
        <v>1095</v>
      </c>
      <c r="I4751" t="s">
        <v>41</v>
      </c>
      <c r="J4751" t="s">
        <v>1096</v>
      </c>
      <c r="K4751" t="s">
        <v>56</v>
      </c>
      <c r="L4751" t="s">
        <v>3185</v>
      </c>
      <c r="M4751" s="3" t="str">
        <f>HYPERLINK("..\..\Imagery\ScannedPhotos\1992\VN92-042.2.jpg")</f>
        <v>..\..\Imagery\ScannedPhotos\1992\VN92-042.2.jpg</v>
      </c>
    </row>
    <row r="4752" spans="1:13" x14ac:dyDescent="0.25">
      <c r="A4752" t="s">
        <v>11130</v>
      </c>
      <c r="B4752">
        <v>483310</v>
      </c>
      <c r="C4752">
        <v>5811449</v>
      </c>
      <c r="D4752">
        <v>21</v>
      </c>
      <c r="E4752" t="s">
        <v>15</v>
      </c>
      <c r="F4752" t="s">
        <v>11132</v>
      </c>
      <c r="G4752">
        <v>2</v>
      </c>
      <c r="H4752" t="s">
        <v>1095</v>
      </c>
      <c r="I4752" t="s">
        <v>74</v>
      </c>
      <c r="J4752" t="s">
        <v>1096</v>
      </c>
      <c r="K4752" t="s">
        <v>56</v>
      </c>
      <c r="L4752" t="s">
        <v>3185</v>
      </c>
      <c r="M4752" s="3" t="str">
        <f>HYPERLINK("..\..\Imagery\ScannedPhotos\1992\VN92-042.1.jpg")</f>
        <v>..\..\Imagery\ScannedPhotos\1992\VN92-042.1.jpg</v>
      </c>
    </row>
    <row r="4753" spans="1:13" x14ac:dyDescent="0.25">
      <c r="A4753" t="s">
        <v>11133</v>
      </c>
      <c r="B4753">
        <v>449878</v>
      </c>
      <c r="C4753">
        <v>5882773</v>
      </c>
      <c r="D4753">
        <v>21</v>
      </c>
      <c r="E4753" t="s">
        <v>15</v>
      </c>
      <c r="F4753" t="s">
        <v>11134</v>
      </c>
      <c r="G4753">
        <v>1</v>
      </c>
      <c r="H4753" t="s">
        <v>60</v>
      </c>
      <c r="I4753" t="s">
        <v>122</v>
      </c>
      <c r="J4753" t="s">
        <v>61</v>
      </c>
      <c r="K4753" t="s">
        <v>20</v>
      </c>
      <c r="L4753" t="s">
        <v>11135</v>
      </c>
      <c r="M4753" s="3" t="str">
        <f>HYPERLINK("..\..\Imagery\ScannedPhotos\1984\CG84-245.jpg")</f>
        <v>..\..\Imagery\ScannedPhotos\1984\CG84-245.jpg</v>
      </c>
    </row>
    <row r="4754" spans="1:13" x14ac:dyDescent="0.25">
      <c r="A4754" t="s">
        <v>11136</v>
      </c>
      <c r="B4754">
        <v>449909</v>
      </c>
      <c r="C4754">
        <v>5884851</v>
      </c>
      <c r="D4754">
        <v>21</v>
      </c>
      <c r="E4754" t="s">
        <v>15</v>
      </c>
      <c r="F4754" t="s">
        <v>11137</v>
      </c>
      <c r="G4754">
        <v>1</v>
      </c>
      <c r="H4754" t="s">
        <v>60</v>
      </c>
      <c r="I4754" t="s">
        <v>129</v>
      </c>
      <c r="J4754" t="s">
        <v>61</v>
      </c>
      <c r="K4754" t="s">
        <v>935</v>
      </c>
      <c r="L4754" t="s">
        <v>11138</v>
      </c>
      <c r="M4754" s="3" t="str">
        <f>HYPERLINK("..\..\Imagery\ScannedPhotos\1984\CG84-251.jpg")</f>
        <v>..\..\Imagery\ScannedPhotos\1984\CG84-251.jpg</v>
      </c>
    </row>
    <row r="4755" spans="1:13" x14ac:dyDescent="0.25">
      <c r="A4755" t="s">
        <v>9869</v>
      </c>
      <c r="B4755">
        <v>562045</v>
      </c>
      <c r="C4755">
        <v>5875289</v>
      </c>
      <c r="D4755">
        <v>21</v>
      </c>
      <c r="E4755" t="s">
        <v>15</v>
      </c>
      <c r="F4755" t="s">
        <v>11139</v>
      </c>
      <c r="G4755">
        <v>2</v>
      </c>
      <c r="H4755" t="s">
        <v>1796</v>
      </c>
      <c r="I4755" t="s">
        <v>18</v>
      </c>
      <c r="J4755" t="s">
        <v>1797</v>
      </c>
      <c r="K4755" t="s">
        <v>20</v>
      </c>
      <c r="L4755" t="s">
        <v>9871</v>
      </c>
      <c r="M4755" s="3" t="str">
        <f>HYPERLINK("..\..\Imagery\ScannedPhotos\1985\VN85-397.2.jpg")</f>
        <v>..\..\Imagery\ScannedPhotos\1985\VN85-397.2.jpg</v>
      </c>
    </row>
    <row r="4756" spans="1:13" x14ac:dyDescent="0.25">
      <c r="A4756" t="s">
        <v>2413</v>
      </c>
      <c r="B4756">
        <v>570462</v>
      </c>
      <c r="C4756">
        <v>5885886</v>
      </c>
      <c r="D4756">
        <v>21</v>
      </c>
      <c r="E4756" t="s">
        <v>15</v>
      </c>
      <c r="F4756" t="s">
        <v>11140</v>
      </c>
      <c r="G4756">
        <v>5</v>
      </c>
      <c r="H4756" t="s">
        <v>2412</v>
      </c>
      <c r="I4756" t="s">
        <v>214</v>
      </c>
      <c r="J4756" t="s">
        <v>1463</v>
      </c>
      <c r="K4756" t="s">
        <v>20</v>
      </c>
      <c r="L4756" t="s">
        <v>2415</v>
      </c>
      <c r="M4756" s="3" t="str">
        <f>HYPERLINK("..\..\Imagery\ScannedPhotos\1985\GM85-503.2.jpg")</f>
        <v>..\..\Imagery\ScannedPhotos\1985\GM85-503.2.jpg</v>
      </c>
    </row>
    <row r="4757" spans="1:13" x14ac:dyDescent="0.25">
      <c r="A4757" t="s">
        <v>2413</v>
      </c>
      <c r="B4757">
        <v>570462</v>
      </c>
      <c r="C4757">
        <v>5885886</v>
      </c>
      <c r="D4757">
        <v>21</v>
      </c>
      <c r="E4757" t="s">
        <v>15</v>
      </c>
      <c r="F4757" t="s">
        <v>11141</v>
      </c>
      <c r="G4757">
        <v>5</v>
      </c>
      <c r="H4757" t="s">
        <v>2412</v>
      </c>
      <c r="I4757" t="s">
        <v>217</v>
      </c>
      <c r="J4757" t="s">
        <v>1463</v>
      </c>
      <c r="K4757" t="s">
        <v>20</v>
      </c>
      <c r="L4757" t="s">
        <v>2415</v>
      </c>
      <c r="M4757" s="3" t="str">
        <f>HYPERLINK("..\..\Imagery\ScannedPhotos\1985\GM85-503.1.jpg")</f>
        <v>..\..\Imagery\ScannedPhotos\1985\GM85-503.1.jpg</v>
      </c>
    </row>
    <row r="4758" spans="1:13" x14ac:dyDescent="0.25">
      <c r="A4758" t="s">
        <v>10366</v>
      </c>
      <c r="B4758">
        <v>571500</v>
      </c>
      <c r="C4758">
        <v>5886389</v>
      </c>
      <c r="D4758">
        <v>21</v>
      </c>
      <c r="E4758" t="s">
        <v>15</v>
      </c>
      <c r="F4758" t="s">
        <v>11142</v>
      </c>
      <c r="G4758">
        <v>5</v>
      </c>
      <c r="H4758" t="s">
        <v>2412</v>
      </c>
      <c r="I4758" t="s">
        <v>647</v>
      </c>
      <c r="J4758" t="s">
        <v>1463</v>
      </c>
      <c r="K4758" t="s">
        <v>20</v>
      </c>
      <c r="L4758" t="s">
        <v>10368</v>
      </c>
      <c r="M4758" s="3" t="str">
        <f>HYPERLINK("..\..\Imagery\ScannedPhotos\1985\GM85-506.4.jpg")</f>
        <v>..\..\Imagery\ScannedPhotos\1985\GM85-506.4.jpg</v>
      </c>
    </row>
    <row r="4759" spans="1:13" x14ac:dyDescent="0.25">
      <c r="A4759" t="s">
        <v>11143</v>
      </c>
      <c r="B4759">
        <v>582271</v>
      </c>
      <c r="C4759">
        <v>5887364</v>
      </c>
      <c r="D4759">
        <v>21</v>
      </c>
      <c r="E4759" t="s">
        <v>15</v>
      </c>
      <c r="F4759" t="s">
        <v>11144</v>
      </c>
      <c r="G4759">
        <v>3</v>
      </c>
      <c r="H4759" t="s">
        <v>4870</v>
      </c>
      <c r="I4759" t="s">
        <v>69</v>
      </c>
      <c r="J4759" t="s">
        <v>138</v>
      </c>
      <c r="K4759" t="s">
        <v>20</v>
      </c>
      <c r="L4759" t="s">
        <v>11145</v>
      </c>
      <c r="M4759" s="3" t="str">
        <f>HYPERLINK("..\..\Imagery\ScannedPhotos\1985\GM85-515.2.jpg")</f>
        <v>..\..\Imagery\ScannedPhotos\1985\GM85-515.2.jpg</v>
      </c>
    </row>
    <row r="4760" spans="1:13" x14ac:dyDescent="0.25">
      <c r="A4760" t="s">
        <v>11146</v>
      </c>
      <c r="B4760">
        <v>404569</v>
      </c>
      <c r="C4760">
        <v>6006973</v>
      </c>
      <c r="D4760">
        <v>21</v>
      </c>
      <c r="E4760" t="s">
        <v>15</v>
      </c>
      <c r="F4760" t="s">
        <v>11147</v>
      </c>
      <c r="G4760">
        <v>2</v>
      </c>
      <c r="H4760" t="s">
        <v>1593</v>
      </c>
      <c r="I4760" t="s">
        <v>222</v>
      </c>
      <c r="J4760" t="s">
        <v>1594</v>
      </c>
      <c r="K4760" t="s">
        <v>56</v>
      </c>
      <c r="L4760" t="s">
        <v>10742</v>
      </c>
      <c r="M4760" s="3" t="str">
        <f>HYPERLINK("..\..\Imagery\ScannedPhotos\1980\NN80-019.1.jpg")</f>
        <v>..\..\Imagery\ScannedPhotos\1980\NN80-019.1.jpg</v>
      </c>
    </row>
    <row r="4761" spans="1:13" x14ac:dyDescent="0.25">
      <c r="A4761" t="s">
        <v>11146</v>
      </c>
      <c r="B4761">
        <v>404569</v>
      </c>
      <c r="C4761">
        <v>6006973</v>
      </c>
      <c r="D4761">
        <v>21</v>
      </c>
      <c r="E4761" t="s">
        <v>15</v>
      </c>
      <c r="F4761" t="s">
        <v>11148</v>
      </c>
      <c r="G4761">
        <v>2</v>
      </c>
      <c r="H4761" t="s">
        <v>1593</v>
      </c>
      <c r="I4761" t="s">
        <v>418</v>
      </c>
      <c r="J4761" t="s">
        <v>1594</v>
      </c>
      <c r="K4761" t="s">
        <v>20</v>
      </c>
      <c r="L4761" t="s">
        <v>11149</v>
      </c>
      <c r="M4761" s="3" t="str">
        <f>HYPERLINK("..\..\Imagery\ScannedPhotos\1980\NN80-019.2.jpg")</f>
        <v>..\..\Imagery\ScannedPhotos\1980\NN80-019.2.jpg</v>
      </c>
    </row>
    <row r="4762" spans="1:13" x14ac:dyDescent="0.25">
      <c r="A4762" t="s">
        <v>11150</v>
      </c>
      <c r="B4762">
        <v>526011</v>
      </c>
      <c r="C4762">
        <v>5720595</v>
      </c>
      <c r="D4762">
        <v>21</v>
      </c>
      <c r="E4762" t="s">
        <v>15</v>
      </c>
      <c r="F4762" t="s">
        <v>11151</v>
      </c>
      <c r="G4762">
        <v>3</v>
      </c>
      <c r="H4762" t="s">
        <v>2418</v>
      </c>
      <c r="I4762" t="s">
        <v>217</v>
      </c>
      <c r="J4762" t="s">
        <v>570</v>
      </c>
      <c r="K4762" t="s">
        <v>20</v>
      </c>
      <c r="L4762" t="s">
        <v>11152</v>
      </c>
      <c r="M4762" s="3" t="str">
        <f>HYPERLINK("..\..\Imagery\ScannedPhotos\1993\VN93-105.1.jpg")</f>
        <v>..\..\Imagery\ScannedPhotos\1993\VN93-105.1.jpg</v>
      </c>
    </row>
    <row r="4763" spans="1:13" x14ac:dyDescent="0.25">
      <c r="A4763" t="s">
        <v>11150</v>
      </c>
      <c r="B4763">
        <v>526011</v>
      </c>
      <c r="C4763">
        <v>5720595</v>
      </c>
      <c r="D4763">
        <v>21</v>
      </c>
      <c r="E4763" t="s">
        <v>15</v>
      </c>
      <c r="F4763" t="s">
        <v>11153</v>
      </c>
      <c r="G4763">
        <v>3</v>
      </c>
      <c r="H4763" t="s">
        <v>2418</v>
      </c>
      <c r="I4763" t="s">
        <v>214</v>
      </c>
      <c r="J4763" t="s">
        <v>570</v>
      </c>
      <c r="K4763" t="s">
        <v>20</v>
      </c>
      <c r="L4763" t="s">
        <v>11152</v>
      </c>
      <c r="M4763" s="3" t="str">
        <f>HYPERLINK("..\..\Imagery\ScannedPhotos\1993\VN93-105.2.jpg")</f>
        <v>..\..\Imagery\ScannedPhotos\1993\VN93-105.2.jpg</v>
      </c>
    </row>
    <row r="4764" spans="1:13" x14ac:dyDescent="0.25">
      <c r="A4764" t="s">
        <v>11150</v>
      </c>
      <c r="B4764">
        <v>526011</v>
      </c>
      <c r="C4764">
        <v>5720595</v>
      </c>
      <c r="D4764">
        <v>21</v>
      </c>
      <c r="E4764" t="s">
        <v>15</v>
      </c>
      <c r="F4764" t="s">
        <v>11154</v>
      </c>
      <c r="G4764">
        <v>3</v>
      </c>
      <c r="H4764" t="s">
        <v>2418</v>
      </c>
      <c r="I4764" t="s">
        <v>222</v>
      </c>
      <c r="J4764" t="s">
        <v>570</v>
      </c>
      <c r="K4764" t="s">
        <v>20</v>
      </c>
      <c r="L4764" t="s">
        <v>11155</v>
      </c>
      <c r="M4764" s="3" t="str">
        <f>HYPERLINK("..\..\Imagery\ScannedPhotos\1993\VN93-105.3.jpg")</f>
        <v>..\..\Imagery\ScannedPhotos\1993\VN93-105.3.jpg</v>
      </c>
    </row>
    <row r="4765" spans="1:13" x14ac:dyDescent="0.25">
      <c r="A4765" t="s">
        <v>9457</v>
      </c>
      <c r="B4765">
        <v>525579</v>
      </c>
      <c r="C4765">
        <v>5720461</v>
      </c>
      <c r="D4765">
        <v>21</v>
      </c>
      <c r="E4765" t="s">
        <v>15</v>
      </c>
      <c r="F4765" t="s">
        <v>11156</v>
      </c>
      <c r="G4765">
        <v>2</v>
      </c>
      <c r="H4765" t="s">
        <v>2418</v>
      </c>
      <c r="I4765" t="s">
        <v>418</v>
      </c>
      <c r="J4765" t="s">
        <v>570</v>
      </c>
      <c r="K4765" t="s">
        <v>20</v>
      </c>
      <c r="L4765" t="s">
        <v>11157</v>
      </c>
      <c r="M4765" s="3" t="str">
        <f>HYPERLINK("..\..\Imagery\ScannedPhotos\1993\VN93-106.1.jpg")</f>
        <v>..\..\Imagery\ScannedPhotos\1993\VN93-106.1.jpg</v>
      </c>
    </row>
    <row r="4766" spans="1:13" x14ac:dyDescent="0.25">
      <c r="A4766" t="s">
        <v>8228</v>
      </c>
      <c r="B4766">
        <v>486950</v>
      </c>
      <c r="C4766">
        <v>5843750</v>
      </c>
      <c r="D4766">
        <v>21</v>
      </c>
      <c r="E4766" t="s">
        <v>15</v>
      </c>
      <c r="F4766" t="s">
        <v>11158</v>
      </c>
      <c r="G4766">
        <v>2</v>
      </c>
      <c r="H4766" t="s">
        <v>968</v>
      </c>
      <c r="I4766" t="s">
        <v>119</v>
      </c>
      <c r="J4766" t="s">
        <v>42</v>
      </c>
      <c r="K4766" t="s">
        <v>56</v>
      </c>
      <c r="L4766" t="s">
        <v>8230</v>
      </c>
      <c r="M4766" s="3" t="str">
        <f>HYPERLINK("..\..\Imagery\ScannedPhotos\1991\VN91-014.2.jpg")</f>
        <v>..\..\Imagery\ScannedPhotos\1991\VN91-014.2.jpg</v>
      </c>
    </row>
    <row r="4767" spans="1:13" x14ac:dyDescent="0.25">
      <c r="A4767" t="s">
        <v>11159</v>
      </c>
      <c r="B4767">
        <v>498150</v>
      </c>
      <c r="C4767">
        <v>5816450</v>
      </c>
      <c r="D4767">
        <v>21</v>
      </c>
      <c r="E4767" t="s">
        <v>15</v>
      </c>
      <c r="F4767" t="s">
        <v>11160</v>
      </c>
      <c r="G4767">
        <v>1</v>
      </c>
      <c r="H4767" t="s">
        <v>1044</v>
      </c>
      <c r="I4767" t="s">
        <v>122</v>
      </c>
      <c r="J4767" t="s">
        <v>42</v>
      </c>
      <c r="K4767" t="s">
        <v>20</v>
      </c>
      <c r="L4767" t="s">
        <v>11161</v>
      </c>
      <c r="M4767" s="3" t="str">
        <f>HYPERLINK("..\..\Imagery\ScannedPhotos\1991\VN91-038.jpg")</f>
        <v>..\..\Imagery\ScannedPhotos\1991\VN91-038.jpg</v>
      </c>
    </row>
    <row r="4768" spans="1:13" x14ac:dyDescent="0.25">
      <c r="A4768" t="s">
        <v>3386</v>
      </c>
      <c r="B4768">
        <v>493041</v>
      </c>
      <c r="C4768">
        <v>5820808</v>
      </c>
      <c r="D4768">
        <v>21</v>
      </c>
      <c r="E4768" t="s">
        <v>15</v>
      </c>
      <c r="F4768" t="s">
        <v>11162</v>
      </c>
      <c r="G4768">
        <v>6</v>
      </c>
      <c r="H4768" t="s">
        <v>3330</v>
      </c>
      <c r="I4768" t="s">
        <v>69</v>
      </c>
      <c r="J4768" t="s">
        <v>850</v>
      </c>
      <c r="K4768" t="s">
        <v>56</v>
      </c>
      <c r="L4768" t="s">
        <v>2173</v>
      </c>
      <c r="M4768" s="3" t="str">
        <f>HYPERLINK("..\..\Imagery\ScannedPhotos\1991\DD91-004.1.jpg")</f>
        <v>..\..\Imagery\ScannedPhotos\1991\DD91-004.1.jpg</v>
      </c>
    </row>
    <row r="4769" spans="1:13" x14ac:dyDescent="0.25">
      <c r="A4769" t="s">
        <v>11163</v>
      </c>
      <c r="B4769">
        <v>439909</v>
      </c>
      <c r="C4769">
        <v>5775371</v>
      </c>
      <c r="D4769">
        <v>21</v>
      </c>
      <c r="E4769" t="s">
        <v>15</v>
      </c>
      <c r="F4769" t="s">
        <v>11164</v>
      </c>
      <c r="G4769">
        <v>5</v>
      </c>
      <c r="H4769" t="s">
        <v>2439</v>
      </c>
      <c r="I4769" t="s">
        <v>114</v>
      </c>
      <c r="J4769" t="s">
        <v>2440</v>
      </c>
      <c r="K4769" t="s">
        <v>20</v>
      </c>
      <c r="L4769" t="s">
        <v>11165</v>
      </c>
      <c r="M4769" s="3" t="str">
        <f>HYPERLINK("..\..\Imagery\ScannedPhotos\1992\JA92-124.4.jpg")</f>
        <v>..\..\Imagery\ScannedPhotos\1992\JA92-124.4.jpg</v>
      </c>
    </row>
    <row r="4770" spans="1:13" x14ac:dyDescent="0.25">
      <c r="A4770" t="s">
        <v>11166</v>
      </c>
      <c r="B4770">
        <v>566600</v>
      </c>
      <c r="C4770">
        <v>5841868</v>
      </c>
      <c r="D4770">
        <v>21</v>
      </c>
      <c r="E4770" t="s">
        <v>15</v>
      </c>
      <c r="F4770" t="s">
        <v>11167</v>
      </c>
      <c r="G4770">
        <v>3</v>
      </c>
      <c r="H4770" t="s">
        <v>99</v>
      </c>
      <c r="I4770" t="s">
        <v>35</v>
      </c>
      <c r="J4770" t="s">
        <v>100</v>
      </c>
      <c r="K4770" t="s">
        <v>20</v>
      </c>
      <c r="L4770" t="s">
        <v>11168</v>
      </c>
      <c r="M4770" s="3" t="str">
        <f>HYPERLINK("..\..\Imagery\ScannedPhotos\1986\MN86-358.2.jpg")</f>
        <v>..\..\Imagery\ScannedPhotos\1986\MN86-358.2.jpg</v>
      </c>
    </row>
    <row r="4771" spans="1:13" x14ac:dyDescent="0.25">
      <c r="A4771" t="s">
        <v>9877</v>
      </c>
      <c r="B4771">
        <v>567640</v>
      </c>
      <c r="C4771">
        <v>5946751</v>
      </c>
      <c r="D4771">
        <v>21</v>
      </c>
      <c r="E4771" t="s">
        <v>15</v>
      </c>
      <c r="F4771" t="s">
        <v>11169</v>
      </c>
      <c r="G4771">
        <v>4</v>
      </c>
      <c r="H4771" t="s">
        <v>1373</v>
      </c>
      <c r="I4771" t="s">
        <v>147</v>
      </c>
      <c r="J4771" t="s">
        <v>1374</v>
      </c>
      <c r="K4771" t="s">
        <v>20</v>
      </c>
      <c r="L4771" t="s">
        <v>10643</v>
      </c>
      <c r="M4771" s="3" t="str">
        <f>HYPERLINK("..\..\Imagery\ScannedPhotos\1985\CG85-541.3.jpg")</f>
        <v>..\..\Imagery\ScannedPhotos\1985\CG85-541.3.jpg</v>
      </c>
    </row>
    <row r="4772" spans="1:13" x14ac:dyDescent="0.25">
      <c r="A4772" t="s">
        <v>11170</v>
      </c>
      <c r="B4772">
        <v>414960</v>
      </c>
      <c r="C4772">
        <v>5903759</v>
      </c>
      <c r="D4772">
        <v>21</v>
      </c>
      <c r="E4772" t="s">
        <v>15</v>
      </c>
      <c r="F4772" t="s">
        <v>11171</v>
      </c>
      <c r="G4772">
        <v>1</v>
      </c>
      <c r="H4772" t="s">
        <v>754</v>
      </c>
      <c r="I4772" t="s">
        <v>386</v>
      </c>
      <c r="J4772" t="s">
        <v>563</v>
      </c>
      <c r="K4772" t="s">
        <v>20</v>
      </c>
      <c r="L4772" t="s">
        <v>11172</v>
      </c>
      <c r="M4772" s="3" t="str">
        <f>HYPERLINK("..\..\Imagery\ScannedPhotos\1995\CG95-060.jpg")</f>
        <v>..\..\Imagery\ScannedPhotos\1995\CG95-060.jpg</v>
      </c>
    </row>
    <row r="4773" spans="1:13" x14ac:dyDescent="0.25">
      <c r="A4773" t="s">
        <v>11173</v>
      </c>
      <c r="B4773">
        <v>415776</v>
      </c>
      <c r="C4773">
        <v>5904058</v>
      </c>
      <c r="D4773">
        <v>21</v>
      </c>
      <c r="E4773" t="s">
        <v>15</v>
      </c>
      <c r="F4773" t="s">
        <v>11174</v>
      </c>
      <c r="G4773">
        <v>1</v>
      </c>
      <c r="H4773" t="s">
        <v>754</v>
      </c>
      <c r="I4773" t="s">
        <v>214</v>
      </c>
      <c r="J4773" t="s">
        <v>563</v>
      </c>
      <c r="K4773" t="s">
        <v>20</v>
      </c>
      <c r="L4773" t="s">
        <v>11175</v>
      </c>
      <c r="M4773" s="3" t="str">
        <f>HYPERLINK("..\..\Imagery\ScannedPhotos\1995\CG95-062.jpg")</f>
        <v>..\..\Imagery\ScannedPhotos\1995\CG95-062.jpg</v>
      </c>
    </row>
    <row r="4774" spans="1:13" x14ac:dyDescent="0.25">
      <c r="A4774" t="s">
        <v>8736</v>
      </c>
      <c r="B4774">
        <v>405577</v>
      </c>
      <c r="C4774">
        <v>5911349</v>
      </c>
      <c r="D4774">
        <v>21</v>
      </c>
      <c r="E4774" t="s">
        <v>15</v>
      </c>
      <c r="F4774" t="s">
        <v>11176</v>
      </c>
      <c r="G4774">
        <v>5</v>
      </c>
      <c r="H4774" t="s">
        <v>754</v>
      </c>
      <c r="I4774" t="s">
        <v>195</v>
      </c>
      <c r="J4774" t="s">
        <v>563</v>
      </c>
      <c r="K4774" t="s">
        <v>20</v>
      </c>
      <c r="L4774" t="s">
        <v>11177</v>
      </c>
      <c r="M4774" s="3" t="str">
        <f>HYPERLINK("..\..\Imagery\ScannedPhotos\1995\CG95-095.3.jpg")</f>
        <v>..\..\Imagery\ScannedPhotos\1995\CG95-095.3.jpg</v>
      </c>
    </row>
    <row r="4775" spans="1:13" x14ac:dyDescent="0.25">
      <c r="A4775" t="s">
        <v>8736</v>
      </c>
      <c r="B4775">
        <v>405577</v>
      </c>
      <c r="C4775">
        <v>5911349</v>
      </c>
      <c r="D4775">
        <v>21</v>
      </c>
      <c r="E4775" t="s">
        <v>15</v>
      </c>
      <c r="F4775" t="s">
        <v>11178</v>
      </c>
      <c r="G4775">
        <v>5</v>
      </c>
      <c r="H4775" t="s">
        <v>754</v>
      </c>
      <c r="I4775" t="s">
        <v>25</v>
      </c>
      <c r="J4775" t="s">
        <v>563</v>
      </c>
      <c r="K4775" t="s">
        <v>20</v>
      </c>
      <c r="L4775" t="s">
        <v>11179</v>
      </c>
      <c r="M4775" s="3" t="str">
        <f>HYPERLINK("..\..\Imagery\ScannedPhotos\1995\CG95-095.4.jpg")</f>
        <v>..\..\Imagery\ScannedPhotos\1995\CG95-095.4.jpg</v>
      </c>
    </row>
    <row r="4776" spans="1:13" x14ac:dyDescent="0.25">
      <c r="A4776" t="s">
        <v>11180</v>
      </c>
      <c r="B4776">
        <v>452864</v>
      </c>
      <c r="C4776">
        <v>6006381</v>
      </c>
      <c r="D4776">
        <v>21</v>
      </c>
      <c r="E4776" t="s">
        <v>15</v>
      </c>
      <c r="F4776" t="s">
        <v>11181</v>
      </c>
      <c r="G4776">
        <v>2</v>
      </c>
      <c r="H4776" t="s">
        <v>1636</v>
      </c>
      <c r="I4776" t="s">
        <v>137</v>
      </c>
      <c r="J4776" t="s">
        <v>652</v>
      </c>
      <c r="K4776" t="s">
        <v>20</v>
      </c>
      <c r="L4776" t="s">
        <v>11182</v>
      </c>
      <c r="M4776" s="3" t="str">
        <f>HYPERLINK("..\..\Imagery\ScannedPhotos\1980\CG80-294.2.jpg")</f>
        <v>..\..\Imagery\ScannedPhotos\1980\CG80-294.2.jpg</v>
      </c>
    </row>
    <row r="4777" spans="1:13" x14ac:dyDescent="0.25">
      <c r="A4777" t="s">
        <v>11183</v>
      </c>
      <c r="B4777">
        <v>463271</v>
      </c>
      <c r="C4777">
        <v>6008692</v>
      </c>
      <c r="D4777">
        <v>21</v>
      </c>
      <c r="E4777" t="s">
        <v>15</v>
      </c>
      <c r="F4777" t="s">
        <v>11184</v>
      </c>
      <c r="G4777">
        <v>3</v>
      </c>
      <c r="H4777" t="s">
        <v>1326</v>
      </c>
      <c r="I4777" t="s">
        <v>281</v>
      </c>
      <c r="J4777" t="s">
        <v>95</v>
      </c>
      <c r="K4777" t="s">
        <v>20</v>
      </c>
      <c r="L4777" t="s">
        <v>11185</v>
      </c>
      <c r="M4777" s="3" t="str">
        <f>HYPERLINK("..\..\Imagery\ScannedPhotos\1980\CG80-337.1.jpg")</f>
        <v>..\..\Imagery\ScannedPhotos\1980\CG80-337.1.jpg</v>
      </c>
    </row>
    <row r="4778" spans="1:13" x14ac:dyDescent="0.25">
      <c r="A4778" t="s">
        <v>11183</v>
      </c>
      <c r="B4778">
        <v>463271</v>
      </c>
      <c r="C4778">
        <v>6008692</v>
      </c>
      <c r="D4778">
        <v>21</v>
      </c>
      <c r="E4778" t="s">
        <v>15</v>
      </c>
      <c r="F4778" t="s">
        <v>11186</v>
      </c>
      <c r="G4778">
        <v>3</v>
      </c>
      <c r="H4778" t="s">
        <v>1326</v>
      </c>
      <c r="I4778" t="s">
        <v>18</v>
      </c>
      <c r="J4778" t="s">
        <v>95</v>
      </c>
      <c r="K4778" t="s">
        <v>20</v>
      </c>
      <c r="L4778" t="s">
        <v>11187</v>
      </c>
      <c r="M4778" s="3" t="str">
        <f>HYPERLINK("..\..\Imagery\ScannedPhotos\1980\CG80-337.3.jpg")</f>
        <v>..\..\Imagery\ScannedPhotos\1980\CG80-337.3.jpg</v>
      </c>
    </row>
    <row r="4779" spans="1:13" x14ac:dyDescent="0.25">
      <c r="A4779" t="s">
        <v>11183</v>
      </c>
      <c r="B4779">
        <v>463271</v>
      </c>
      <c r="C4779">
        <v>6008692</v>
      </c>
      <c r="D4779">
        <v>21</v>
      </c>
      <c r="E4779" t="s">
        <v>15</v>
      </c>
      <c r="F4779" t="s">
        <v>11188</v>
      </c>
      <c r="G4779">
        <v>3</v>
      </c>
      <c r="H4779" t="s">
        <v>1326</v>
      </c>
      <c r="I4779" t="s">
        <v>137</v>
      </c>
      <c r="J4779" t="s">
        <v>95</v>
      </c>
      <c r="K4779" t="s">
        <v>20</v>
      </c>
      <c r="L4779" t="s">
        <v>11189</v>
      </c>
      <c r="M4779" s="3" t="str">
        <f>HYPERLINK("..\..\Imagery\ScannedPhotos\1980\CG80-337.2.jpg")</f>
        <v>..\..\Imagery\ScannedPhotos\1980\CG80-337.2.jpg</v>
      </c>
    </row>
    <row r="4780" spans="1:13" x14ac:dyDescent="0.25">
      <c r="A4780" t="s">
        <v>919</v>
      </c>
      <c r="B4780">
        <v>443989</v>
      </c>
      <c r="C4780">
        <v>5763744</v>
      </c>
      <c r="D4780">
        <v>21</v>
      </c>
      <c r="E4780" t="s">
        <v>15</v>
      </c>
      <c r="F4780" t="s">
        <v>11190</v>
      </c>
      <c r="G4780">
        <v>9</v>
      </c>
      <c r="H4780" t="s">
        <v>746</v>
      </c>
      <c r="I4780" t="s">
        <v>281</v>
      </c>
      <c r="J4780" t="s">
        <v>747</v>
      </c>
      <c r="K4780" t="s">
        <v>56</v>
      </c>
      <c r="L4780" t="s">
        <v>2488</v>
      </c>
      <c r="M4780" s="3" t="str">
        <f>HYPERLINK("..\..\Imagery\ScannedPhotos\1992\CG92-163.5.jpg")</f>
        <v>..\..\Imagery\ScannedPhotos\1992\CG92-163.5.jpg</v>
      </c>
    </row>
    <row r="4781" spans="1:13" x14ac:dyDescent="0.25">
      <c r="A4781" t="s">
        <v>11191</v>
      </c>
      <c r="B4781">
        <v>560503</v>
      </c>
      <c r="C4781">
        <v>5833622</v>
      </c>
      <c r="D4781">
        <v>21</v>
      </c>
      <c r="E4781" t="s">
        <v>15</v>
      </c>
      <c r="F4781" t="s">
        <v>11192</v>
      </c>
      <c r="G4781">
        <v>1</v>
      </c>
      <c r="H4781" t="s">
        <v>1851</v>
      </c>
      <c r="I4781" t="s">
        <v>214</v>
      </c>
      <c r="J4781" t="s">
        <v>1852</v>
      </c>
      <c r="K4781" t="s">
        <v>20</v>
      </c>
      <c r="L4781" t="s">
        <v>4867</v>
      </c>
      <c r="M4781" s="3" t="str">
        <f>HYPERLINK("..\..\Imagery\ScannedPhotos\1986\MN86-324.jpg")</f>
        <v>..\..\Imagery\ScannedPhotos\1986\MN86-324.jpg</v>
      </c>
    </row>
    <row r="4782" spans="1:13" x14ac:dyDescent="0.25">
      <c r="A4782" t="s">
        <v>2940</v>
      </c>
      <c r="B4782">
        <v>468168</v>
      </c>
      <c r="C4782">
        <v>5908316</v>
      </c>
      <c r="D4782">
        <v>21</v>
      </c>
      <c r="E4782" t="s">
        <v>15</v>
      </c>
      <c r="F4782" t="s">
        <v>11193</v>
      </c>
      <c r="G4782">
        <v>3</v>
      </c>
      <c r="K4782" t="s">
        <v>20</v>
      </c>
      <c r="L4782" t="s">
        <v>2942</v>
      </c>
      <c r="M4782" s="3" t="str">
        <f>HYPERLINK("..\..\Imagery\ScannedPhotos\2004\CG04-217.1.jpg")</f>
        <v>..\..\Imagery\ScannedPhotos\2004\CG04-217.1.jpg</v>
      </c>
    </row>
    <row r="4783" spans="1:13" x14ac:dyDescent="0.25">
      <c r="A4783" t="s">
        <v>11194</v>
      </c>
      <c r="B4783">
        <v>407899</v>
      </c>
      <c r="C4783">
        <v>6006134</v>
      </c>
      <c r="D4783">
        <v>21</v>
      </c>
      <c r="E4783" t="s">
        <v>15</v>
      </c>
      <c r="F4783" t="s">
        <v>11195</v>
      </c>
      <c r="G4783">
        <v>1</v>
      </c>
      <c r="H4783" t="s">
        <v>1006</v>
      </c>
      <c r="I4783" t="s">
        <v>129</v>
      </c>
      <c r="J4783" t="s">
        <v>652</v>
      </c>
      <c r="K4783" t="s">
        <v>20</v>
      </c>
      <c r="L4783" t="s">
        <v>11196</v>
      </c>
      <c r="M4783" s="3" t="str">
        <f>HYPERLINK("..\..\Imagery\ScannedPhotos\1980\CG80-078.jpg")</f>
        <v>..\..\Imagery\ScannedPhotos\1980\CG80-078.jpg</v>
      </c>
    </row>
    <row r="4784" spans="1:13" x14ac:dyDescent="0.25">
      <c r="A4784" t="s">
        <v>11197</v>
      </c>
      <c r="B4784">
        <v>408227</v>
      </c>
      <c r="C4784">
        <v>6006938</v>
      </c>
      <c r="D4784">
        <v>21</v>
      </c>
      <c r="E4784" t="s">
        <v>15</v>
      </c>
      <c r="F4784" t="s">
        <v>11198</v>
      </c>
      <c r="G4784">
        <v>1</v>
      </c>
      <c r="H4784" t="s">
        <v>1006</v>
      </c>
      <c r="I4784" t="s">
        <v>143</v>
      </c>
      <c r="J4784" t="s">
        <v>652</v>
      </c>
      <c r="K4784" t="s">
        <v>20</v>
      </c>
      <c r="L4784" t="s">
        <v>11199</v>
      </c>
      <c r="M4784" s="3" t="str">
        <f>HYPERLINK("..\..\Imagery\ScannedPhotos\1980\CG80-081.jpg")</f>
        <v>..\..\Imagery\ScannedPhotos\1980\CG80-081.jpg</v>
      </c>
    </row>
    <row r="4785" spans="1:14" x14ac:dyDescent="0.25">
      <c r="A4785" t="s">
        <v>11200</v>
      </c>
      <c r="B4785">
        <v>409132</v>
      </c>
      <c r="C4785">
        <v>6008313</v>
      </c>
      <c r="D4785">
        <v>21</v>
      </c>
      <c r="E4785" t="s">
        <v>15</v>
      </c>
      <c r="F4785" t="s">
        <v>11201</v>
      </c>
      <c r="G4785">
        <v>1</v>
      </c>
      <c r="H4785" t="s">
        <v>1006</v>
      </c>
      <c r="I4785" t="s">
        <v>147</v>
      </c>
      <c r="J4785" t="s">
        <v>652</v>
      </c>
      <c r="K4785" t="s">
        <v>20</v>
      </c>
      <c r="L4785" t="s">
        <v>11202</v>
      </c>
      <c r="M4785" s="3" t="str">
        <f>HYPERLINK("..\..\Imagery\ScannedPhotos\1980\CG80-085.jpg")</f>
        <v>..\..\Imagery\ScannedPhotos\1980\CG80-085.jpg</v>
      </c>
    </row>
    <row r="4786" spans="1:14" x14ac:dyDescent="0.25">
      <c r="A4786" t="s">
        <v>11203</v>
      </c>
      <c r="B4786">
        <v>409936</v>
      </c>
      <c r="C4786">
        <v>6009093</v>
      </c>
      <c r="D4786">
        <v>21</v>
      </c>
      <c r="E4786" t="s">
        <v>15</v>
      </c>
      <c r="F4786" t="s">
        <v>11204</v>
      </c>
      <c r="G4786">
        <v>1</v>
      </c>
      <c r="H4786" t="s">
        <v>1006</v>
      </c>
      <c r="I4786" t="s">
        <v>47</v>
      </c>
      <c r="J4786" t="s">
        <v>652</v>
      </c>
      <c r="K4786" t="s">
        <v>20</v>
      </c>
      <c r="L4786" t="s">
        <v>962</v>
      </c>
      <c r="M4786" s="3" t="str">
        <f>HYPERLINK("..\..\Imagery\ScannedPhotos\1980\CG80-088.jpg")</f>
        <v>..\..\Imagery\ScannedPhotos\1980\CG80-088.jpg</v>
      </c>
    </row>
    <row r="4787" spans="1:14" x14ac:dyDescent="0.25">
      <c r="A4787" t="s">
        <v>11205</v>
      </c>
      <c r="B4787">
        <v>410012</v>
      </c>
      <c r="C4787">
        <v>6009391</v>
      </c>
      <c r="D4787">
        <v>21</v>
      </c>
      <c r="E4787" t="s">
        <v>15</v>
      </c>
      <c r="F4787" t="s">
        <v>11206</v>
      </c>
      <c r="G4787">
        <v>1</v>
      </c>
      <c r="H4787" t="s">
        <v>1006</v>
      </c>
      <c r="I4787" t="s">
        <v>52</v>
      </c>
      <c r="J4787" t="s">
        <v>652</v>
      </c>
      <c r="K4787" t="s">
        <v>20</v>
      </c>
      <c r="L4787" t="s">
        <v>11207</v>
      </c>
      <c r="M4787" s="3" t="str">
        <f>HYPERLINK("..\..\Imagery\ScannedPhotos\1980\CG80-089.jpg")</f>
        <v>..\..\Imagery\ScannedPhotos\1980\CG80-089.jpg</v>
      </c>
    </row>
    <row r="4788" spans="1:14" x14ac:dyDescent="0.25">
      <c r="A4788" t="s">
        <v>2342</v>
      </c>
      <c r="B4788">
        <v>476292</v>
      </c>
      <c r="C4788">
        <v>5811214</v>
      </c>
      <c r="D4788">
        <v>21</v>
      </c>
      <c r="E4788" t="s">
        <v>15</v>
      </c>
      <c r="F4788" t="s">
        <v>11208</v>
      </c>
      <c r="G4788">
        <v>1</v>
      </c>
      <c r="H4788" t="s">
        <v>2344</v>
      </c>
      <c r="I4788" t="s">
        <v>137</v>
      </c>
      <c r="J4788" t="s">
        <v>2341</v>
      </c>
      <c r="K4788" t="s">
        <v>535</v>
      </c>
      <c r="L4788" t="s">
        <v>10358</v>
      </c>
      <c r="M4788" s="3" t="str">
        <f>HYPERLINK("..\..\Imagery\ScannedPhotos\1992\JA92-024.1.jpg")</f>
        <v>..\..\Imagery\ScannedPhotos\1992\JA92-024.1.jpg</v>
      </c>
    </row>
    <row r="4789" spans="1:14" x14ac:dyDescent="0.25">
      <c r="A4789" t="s">
        <v>10397</v>
      </c>
      <c r="B4789">
        <v>367106</v>
      </c>
      <c r="C4789">
        <v>5895274</v>
      </c>
      <c r="D4789">
        <v>21</v>
      </c>
      <c r="E4789" t="s">
        <v>15</v>
      </c>
      <c r="F4789" t="s">
        <v>11209</v>
      </c>
      <c r="G4789">
        <v>2</v>
      </c>
      <c r="H4789" t="s">
        <v>1826</v>
      </c>
      <c r="I4789" t="s">
        <v>126</v>
      </c>
      <c r="J4789" t="s">
        <v>557</v>
      </c>
      <c r="K4789" t="s">
        <v>20</v>
      </c>
      <c r="L4789" t="s">
        <v>10399</v>
      </c>
      <c r="M4789" s="3" t="str">
        <f>HYPERLINK("..\..\Imagery\ScannedPhotos\1995\CG95-197.2.jpg")</f>
        <v>..\..\Imagery\ScannedPhotos\1995\CG95-197.2.jpg</v>
      </c>
    </row>
    <row r="4790" spans="1:14" x14ac:dyDescent="0.25">
      <c r="A4790" t="s">
        <v>7787</v>
      </c>
      <c r="B4790">
        <v>493278</v>
      </c>
      <c r="C4790">
        <v>5896286</v>
      </c>
      <c r="D4790">
        <v>21</v>
      </c>
      <c r="E4790" t="s">
        <v>15</v>
      </c>
      <c r="F4790" t="s">
        <v>11210</v>
      </c>
      <c r="G4790">
        <v>5</v>
      </c>
      <c r="H4790" t="s">
        <v>2912</v>
      </c>
      <c r="I4790" t="s">
        <v>94</v>
      </c>
      <c r="J4790" t="s">
        <v>2913</v>
      </c>
      <c r="K4790" t="s">
        <v>20</v>
      </c>
      <c r="L4790" t="s">
        <v>11211</v>
      </c>
      <c r="M4790" s="3" t="str">
        <f>HYPERLINK("..\..\Imagery\ScannedPhotos\1984\VN84-189.1.jpg")</f>
        <v>..\..\Imagery\ScannedPhotos\1984\VN84-189.1.jpg</v>
      </c>
    </row>
    <row r="4791" spans="1:14" x14ac:dyDescent="0.25">
      <c r="A4791" t="s">
        <v>11212</v>
      </c>
      <c r="B4791">
        <v>561717</v>
      </c>
      <c r="C4791">
        <v>5807625</v>
      </c>
      <c r="D4791">
        <v>21</v>
      </c>
      <c r="E4791" t="s">
        <v>15</v>
      </c>
      <c r="F4791" t="s">
        <v>11213</v>
      </c>
      <c r="G4791">
        <v>1</v>
      </c>
      <c r="K4791" t="s">
        <v>56</v>
      </c>
      <c r="L4791" t="s">
        <v>11214</v>
      </c>
      <c r="M4791" s="3" t="str">
        <f>HYPERLINK("..\..\Imagery\ScannedPhotos\2003\CG03-181.jpg")</f>
        <v>..\..\Imagery\ScannedPhotos\2003\CG03-181.jpg</v>
      </c>
    </row>
    <row r="4792" spans="1:14" x14ac:dyDescent="0.25">
      <c r="A4792" t="s">
        <v>9586</v>
      </c>
      <c r="B4792">
        <v>405328</v>
      </c>
      <c r="C4792">
        <v>5911514</v>
      </c>
      <c r="D4792">
        <v>21</v>
      </c>
      <c r="E4792" t="s">
        <v>15</v>
      </c>
      <c r="F4792" t="s">
        <v>11215</v>
      </c>
      <c r="G4792">
        <v>8</v>
      </c>
      <c r="H4792" t="s">
        <v>556</v>
      </c>
      <c r="I4792" t="s">
        <v>222</v>
      </c>
      <c r="J4792" t="s">
        <v>557</v>
      </c>
      <c r="K4792" t="s">
        <v>20</v>
      </c>
      <c r="L4792" t="s">
        <v>11216</v>
      </c>
      <c r="M4792" s="3" t="str">
        <f>HYPERLINK("..\..\Imagery\ScannedPhotos\1995\CG95-096.5.jpg")</f>
        <v>..\..\Imagery\ScannedPhotos\1995\CG95-096.5.jpg</v>
      </c>
    </row>
    <row r="4793" spans="1:14" x14ac:dyDescent="0.25">
      <c r="A4793" t="s">
        <v>9117</v>
      </c>
      <c r="B4793">
        <v>343243</v>
      </c>
      <c r="C4793">
        <v>5812334</v>
      </c>
      <c r="D4793">
        <v>21</v>
      </c>
      <c r="E4793" t="s">
        <v>15</v>
      </c>
      <c r="F4793" t="s">
        <v>11217</v>
      </c>
      <c r="G4793">
        <v>7</v>
      </c>
      <c r="H4793" t="s">
        <v>3404</v>
      </c>
      <c r="I4793" t="s">
        <v>304</v>
      </c>
      <c r="J4793" t="s">
        <v>80</v>
      </c>
      <c r="K4793" t="s">
        <v>20</v>
      </c>
      <c r="L4793" t="s">
        <v>9692</v>
      </c>
      <c r="M4793" s="3" t="str">
        <f>HYPERLINK("..\..\Imagery\ScannedPhotos\2000\CG00-319.3.jpg")</f>
        <v>..\..\Imagery\ScannedPhotos\2000\CG00-319.3.jpg</v>
      </c>
    </row>
    <row r="4794" spans="1:14" x14ac:dyDescent="0.25">
      <c r="A4794" t="s">
        <v>11218</v>
      </c>
      <c r="B4794">
        <v>572356</v>
      </c>
      <c r="C4794">
        <v>5886822</v>
      </c>
      <c r="D4794">
        <v>21</v>
      </c>
      <c r="E4794" t="s">
        <v>15</v>
      </c>
      <c r="F4794" t="s">
        <v>11219</v>
      </c>
      <c r="G4794">
        <v>3</v>
      </c>
      <c r="H4794" t="s">
        <v>2412</v>
      </c>
      <c r="I4794" t="s">
        <v>126</v>
      </c>
      <c r="J4794" t="s">
        <v>1463</v>
      </c>
      <c r="K4794" t="s">
        <v>20</v>
      </c>
      <c r="L4794" t="s">
        <v>3229</v>
      </c>
      <c r="M4794" s="3" t="str">
        <f>HYPERLINK("..\..\Imagery\ScannedPhotos\1985\GM85-508.2.jpg")</f>
        <v>..\..\Imagery\ScannedPhotos\1985\GM85-508.2.jpg</v>
      </c>
    </row>
    <row r="4795" spans="1:14" x14ac:dyDescent="0.25">
      <c r="A4795" t="s">
        <v>11218</v>
      </c>
      <c r="B4795">
        <v>572356</v>
      </c>
      <c r="C4795">
        <v>5886822</v>
      </c>
      <c r="D4795">
        <v>21</v>
      </c>
      <c r="E4795" t="s">
        <v>15</v>
      </c>
      <c r="F4795" t="s">
        <v>11220</v>
      </c>
      <c r="G4795">
        <v>3</v>
      </c>
      <c r="H4795" t="s">
        <v>2412</v>
      </c>
      <c r="I4795" t="s">
        <v>122</v>
      </c>
      <c r="J4795" t="s">
        <v>1463</v>
      </c>
      <c r="K4795" t="s">
        <v>20</v>
      </c>
      <c r="L4795" t="s">
        <v>3229</v>
      </c>
      <c r="M4795" s="3" t="str">
        <f>HYPERLINK("..\..\Imagery\ScannedPhotos\1985\GM85-508.1.jpg")</f>
        <v>..\..\Imagery\ScannedPhotos\1985\GM85-508.1.jpg</v>
      </c>
    </row>
    <row r="4796" spans="1:14" x14ac:dyDescent="0.25">
      <c r="A4796" t="s">
        <v>11218</v>
      </c>
      <c r="B4796">
        <v>572356</v>
      </c>
      <c r="C4796">
        <v>5886822</v>
      </c>
      <c r="D4796">
        <v>21</v>
      </c>
      <c r="E4796" t="s">
        <v>15</v>
      </c>
      <c r="F4796" t="s">
        <v>11221</v>
      </c>
      <c r="G4796">
        <v>3</v>
      </c>
      <c r="H4796" t="s">
        <v>2412</v>
      </c>
      <c r="I4796" t="s">
        <v>108</v>
      </c>
      <c r="J4796" t="s">
        <v>1463</v>
      </c>
      <c r="K4796" t="s">
        <v>20</v>
      </c>
      <c r="L4796" t="s">
        <v>3229</v>
      </c>
      <c r="M4796" s="3" t="str">
        <f>HYPERLINK("..\..\Imagery\ScannedPhotos\1985\GM85-508.3.jpg")</f>
        <v>..\..\Imagery\ScannedPhotos\1985\GM85-508.3.jpg</v>
      </c>
    </row>
    <row r="4797" spans="1:14" x14ac:dyDescent="0.25">
      <c r="A4797" t="s">
        <v>11222</v>
      </c>
      <c r="B4797">
        <v>497666</v>
      </c>
      <c r="C4797">
        <v>5801819</v>
      </c>
      <c r="D4797">
        <v>21</v>
      </c>
      <c r="E4797" t="s">
        <v>15</v>
      </c>
      <c r="F4797" t="s">
        <v>11223</v>
      </c>
      <c r="G4797">
        <v>1</v>
      </c>
      <c r="H4797" t="s">
        <v>2439</v>
      </c>
      <c r="I4797" t="s">
        <v>418</v>
      </c>
      <c r="J4797" t="s">
        <v>2440</v>
      </c>
      <c r="K4797" t="s">
        <v>228</v>
      </c>
      <c r="L4797" t="s">
        <v>11224</v>
      </c>
      <c r="M4797" s="3" t="str">
        <f>HYPERLINK("..\..\Imagery\ScannedPhotos\1992\JA92-018.2E.jpg")</f>
        <v>..\..\Imagery\ScannedPhotos\1992\JA92-018.2E.jpg</v>
      </c>
      <c r="N4797" t="s">
        <v>1808</v>
      </c>
    </row>
    <row r="4798" spans="1:14" x14ac:dyDescent="0.25">
      <c r="A4798" t="s">
        <v>11222</v>
      </c>
      <c r="B4798">
        <v>497666</v>
      </c>
      <c r="C4798">
        <v>5801819</v>
      </c>
      <c r="D4798">
        <v>21</v>
      </c>
      <c r="E4798" t="s">
        <v>15</v>
      </c>
      <c r="F4798" t="s">
        <v>11225</v>
      </c>
      <c r="G4798">
        <v>1</v>
      </c>
      <c r="H4798" t="s">
        <v>2344</v>
      </c>
      <c r="I4798" t="s">
        <v>79</v>
      </c>
      <c r="J4798" t="s">
        <v>2341</v>
      </c>
      <c r="K4798" t="s">
        <v>56</v>
      </c>
      <c r="L4798" t="s">
        <v>11226</v>
      </c>
      <c r="M4798" s="3" t="str">
        <f>HYPERLINK("..\..\Imagery\ScannedPhotos\1992\JA92-018.1.jpg")</f>
        <v>..\..\Imagery\ScannedPhotos\1992\JA92-018.1.jpg</v>
      </c>
    </row>
    <row r="4799" spans="1:14" x14ac:dyDescent="0.25">
      <c r="A4799" t="s">
        <v>3730</v>
      </c>
      <c r="B4799">
        <v>399600</v>
      </c>
      <c r="C4799">
        <v>5907054</v>
      </c>
      <c r="D4799">
        <v>21</v>
      </c>
      <c r="E4799" t="s">
        <v>15</v>
      </c>
      <c r="F4799" t="s">
        <v>11227</v>
      </c>
      <c r="G4799">
        <v>4</v>
      </c>
      <c r="H4799" t="s">
        <v>562</v>
      </c>
      <c r="I4799" t="s">
        <v>147</v>
      </c>
      <c r="J4799" t="s">
        <v>563</v>
      </c>
      <c r="K4799" t="s">
        <v>56</v>
      </c>
      <c r="L4799" t="s">
        <v>3732</v>
      </c>
      <c r="M4799" s="3" t="str">
        <f>HYPERLINK("..\..\Imagery\ScannedPhotos\1995\VN95-173.2.jpg")</f>
        <v>..\..\Imagery\ScannedPhotos\1995\VN95-173.2.jpg</v>
      </c>
    </row>
    <row r="4800" spans="1:14" x14ac:dyDescent="0.25">
      <c r="A4800" t="s">
        <v>2338</v>
      </c>
      <c r="B4800">
        <v>498459</v>
      </c>
      <c r="C4800">
        <v>5791161</v>
      </c>
      <c r="D4800">
        <v>21</v>
      </c>
      <c r="E4800" t="s">
        <v>15</v>
      </c>
      <c r="F4800" t="s">
        <v>11228</v>
      </c>
      <c r="G4800">
        <v>6</v>
      </c>
      <c r="H4800" t="s">
        <v>2340</v>
      </c>
      <c r="I4800" t="s">
        <v>195</v>
      </c>
      <c r="J4800" t="s">
        <v>2341</v>
      </c>
      <c r="K4800" t="s">
        <v>20</v>
      </c>
      <c r="L4800" t="s">
        <v>10401</v>
      </c>
      <c r="M4800" s="3" t="str">
        <f>HYPERLINK("..\..\Imagery\ScannedPhotos\1992\HP92-082.2.jpg")</f>
        <v>..\..\Imagery\ScannedPhotos\1992\HP92-082.2.jpg</v>
      </c>
    </row>
    <row r="4801" spans="1:13" x14ac:dyDescent="0.25">
      <c r="A4801" t="s">
        <v>11229</v>
      </c>
      <c r="B4801">
        <v>526375</v>
      </c>
      <c r="C4801">
        <v>5720687</v>
      </c>
      <c r="D4801">
        <v>21</v>
      </c>
      <c r="E4801" t="s">
        <v>15</v>
      </c>
      <c r="F4801" t="s">
        <v>11230</v>
      </c>
      <c r="G4801">
        <v>6</v>
      </c>
      <c r="H4801" t="s">
        <v>2418</v>
      </c>
      <c r="I4801" t="s">
        <v>94</v>
      </c>
      <c r="J4801" t="s">
        <v>570</v>
      </c>
      <c r="K4801" t="s">
        <v>20</v>
      </c>
      <c r="L4801" t="s">
        <v>11231</v>
      </c>
      <c r="M4801" s="3" t="str">
        <f>HYPERLINK("..\..\Imagery\ScannedPhotos\1993\VN93-104.4.jpg")</f>
        <v>..\..\Imagery\ScannedPhotos\1993\VN93-104.4.jpg</v>
      </c>
    </row>
    <row r="4802" spans="1:13" x14ac:dyDescent="0.25">
      <c r="A4802" t="s">
        <v>11229</v>
      </c>
      <c r="B4802">
        <v>526375</v>
      </c>
      <c r="C4802">
        <v>5720687</v>
      </c>
      <c r="D4802">
        <v>21</v>
      </c>
      <c r="E4802" t="s">
        <v>15</v>
      </c>
      <c r="F4802" t="s">
        <v>11232</v>
      </c>
      <c r="G4802">
        <v>6</v>
      </c>
      <c r="H4802" t="s">
        <v>2418</v>
      </c>
      <c r="I4802" t="s">
        <v>375</v>
      </c>
      <c r="J4802" t="s">
        <v>570</v>
      </c>
      <c r="K4802" t="s">
        <v>20</v>
      </c>
      <c r="L4802" t="s">
        <v>11233</v>
      </c>
      <c r="M4802" s="3" t="str">
        <f>HYPERLINK("..\..\Imagery\ScannedPhotos\1993\VN93-104.3.jpg")</f>
        <v>..\..\Imagery\ScannedPhotos\1993\VN93-104.3.jpg</v>
      </c>
    </row>
    <row r="4803" spans="1:13" x14ac:dyDescent="0.25">
      <c r="A4803" t="s">
        <v>11229</v>
      </c>
      <c r="B4803">
        <v>526375</v>
      </c>
      <c r="C4803">
        <v>5720687</v>
      </c>
      <c r="D4803">
        <v>21</v>
      </c>
      <c r="E4803" t="s">
        <v>15</v>
      </c>
      <c r="F4803" t="s">
        <v>11234</v>
      </c>
      <c r="G4803">
        <v>6</v>
      </c>
      <c r="H4803" t="s">
        <v>2418</v>
      </c>
      <c r="I4803" t="s">
        <v>85</v>
      </c>
      <c r="J4803" t="s">
        <v>570</v>
      </c>
      <c r="K4803" t="s">
        <v>20</v>
      </c>
      <c r="L4803" t="s">
        <v>11235</v>
      </c>
      <c r="M4803" s="3" t="str">
        <f>HYPERLINK("..\..\Imagery\ScannedPhotos\1993\VN93-104.2.jpg")</f>
        <v>..\..\Imagery\ScannedPhotos\1993\VN93-104.2.jpg</v>
      </c>
    </row>
    <row r="4804" spans="1:13" x14ac:dyDescent="0.25">
      <c r="A4804" t="s">
        <v>11236</v>
      </c>
      <c r="B4804">
        <v>494551</v>
      </c>
      <c r="C4804">
        <v>5942547</v>
      </c>
      <c r="D4804">
        <v>21</v>
      </c>
      <c r="E4804" t="s">
        <v>15</v>
      </c>
      <c r="F4804" t="s">
        <v>11237</v>
      </c>
      <c r="G4804">
        <v>1</v>
      </c>
      <c r="H4804" t="s">
        <v>46</v>
      </c>
      <c r="I4804" t="s">
        <v>222</v>
      </c>
      <c r="J4804" t="s">
        <v>48</v>
      </c>
      <c r="K4804" t="s">
        <v>20</v>
      </c>
      <c r="L4804" t="s">
        <v>11238</v>
      </c>
      <c r="M4804" s="3" t="str">
        <f>HYPERLINK("..\..\Imagery\ScannedPhotos\1981\GF81-042.jpg")</f>
        <v>..\..\Imagery\ScannedPhotos\1981\GF81-042.jpg</v>
      </c>
    </row>
    <row r="4805" spans="1:13" x14ac:dyDescent="0.25">
      <c r="A4805" t="s">
        <v>11239</v>
      </c>
      <c r="B4805">
        <v>512271</v>
      </c>
      <c r="C4805">
        <v>5953891</v>
      </c>
      <c r="D4805">
        <v>21</v>
      </c>
      <c r="E4805" t="s">
        <v>15</v>
      </c>
      <c r="F4805" t="s">
        <v>11240</v>
      </c>
      <c r="G4805">
        <v>2</v>
      </c>
      <c r="H4805" t="s">
        <v>6876</v>
      </c>
      <c r="I4805" t="s">
        <v>386</v>
      </c>
      <c r="J4805" t="s">
        <v>48</v>
      </c>
      <c r="K4805" t="s">
        <v>20</v>
      </c>
      <c r="L4805" t="s">
        <v>11241</v>
      </c>
      <c r="M4805" s="3" t="str">
        <f>HYPERLINK("..\..\Imagery\ScannedPhotos\1981\VO81-022.1.jpg")</f>
        <v>..\..\Imagery\ScannedPhotos\1981\VO81-022.1.jpg</v>
      </c>
    </row>
    <row r="4806" spans="1:13" x14ac:dyDescent="0.25">
      <c r="A4806" t="s">
        <v>11239</v>
      </c>
      <c r="B4806">
        <v>512271</v>
      </c>
      <c r="C4806">
        <v>5953891</v>
      </c>
      <c r="D4806">
        <v>21</v>
      </c>
      <c r="E4806" t="s">
        <v>15</v>
      </c>
      <c r="F4806" t="s">
        <v>11242</v>
      </c>
      <c r="G4806">
        <v>2</v>
      </c>
      <c r="H4806" t="s">
        <v>6876</v>
      </c>
      <c r="I4806" t="s">
        <v>217</v>
      </c>
      <c r="J4806" t="s">
        <v>48</v>
      </c>
      <c r="K4806" t="s">
        <v>20</v>
      </c>
      <c r="L4806" t="s">
        <v>11241</v>
      </c>
      <c r="M4806" s="3" t="str">
        <f>HYPERLINK("..\..\Imagery\ScannedPhotos\1981\VO81-022.2.jpg")</f>
        <v>..\..\Imagery\ScannedPhotos\1981\VO81-022.2.jpg</v>
      </c>
    </row>
    <row r="4807" spans="1:13" x14ac:dyDescent="0.25">
      <c r="A4807" t="s">
        <v>1403</v>
      </c>
      <c r="B4807">
        <v>537298</v>
      </c>
      <c r="C4807">
        <v>5961593</v>
      </c>
      <c r="D4807">
        <v>21</v>
      </c>
      <c r="E4807" t="s">
        <v>15</v>
      </c>
      <c r="F4807" t="s">
        <v>11243</v>
      </c>
      <c r="G4807">
        <v>31</v>
      </c>
      <c r="H4807" t="s">
        <v>2246</v>
      </c>
      <c r="I4807" t="s">
        <v>18</v>
      </c>
      <c r="J4807" t="s">
        <v>2247</v>
      </c>
      <c r="K4807" t="s">
        <v>20</v>
      </c>
      <c r="L4807" t="s">
        <v>2085</v>
      </c>
      <c r="M4807" s="3" t="str">
        <f>HYPERLINK("..\..\Imagery\ScannedPhotos\1981\CG81-306.26.jpg")</f>
        <v>..\..\Imagery\ScannedPhotos\1981\CG81-306.26.jpg</v>
      </c>
    </row>
    <row r="4808" spans="1:13" x14ac:dyDescent="0.25">
      <c r="A4808" t="s">
        <v>4096</v>
      </c>
      <c r="B4808">
        <v>565044</v>
      </c>
      <c r="C4808">
        <v>5920155</v>
      </c>
      <c r="D4808">
        <v>21</v>
      </c>
      <c r="E4808" t="s">
        <v>15</v>
      </c>
      <c r="F4808" t="s">
        <v>11244</v>
      </c>
      <c r="G4808">
        <v>4</v>
      </c>
      <c r="H4808" t="s">
        <v>1378</v>
      </c>
      <c r="I4808" t="s">
        <v>222</v>
      </c>
      <c r="J4808" t="s">
        <v>628</v>
      </c>
      <c r="K4808" t="s">
        <v>20</v>
      </c>
      <c r="L4808" t="s">
        <v>11245</v>
      </c>
      <c r="M4808" s="3" t="str">
        <f>HYPERLINK("..\..\Imagery\ScannedPhotos\1985\CG85-644.2.jpg")</f>
        <v>..\..\Imagery\ScannedPhotos\1985\CG85-644.2.jpg</v>
      </c>
    </row>
    <row r="4809" spans="1:13" x14ac:dyDescent="0.25">
      <c r="A4809" t="s">
        <v>6233</v>
      </c>
      <c r="B4809">
        <v>551008</v>
      </c>
      <c r="C4809">
        <v>5821597</v>
      </c>
      <c r="D4809">
        <v>21</v>
      </c>
      <c r="E4809" t="s">
        <v>15</v>
      </c>
      <c r="F4809" t="s">
        <v>11246</v>
      </c>
      <c r="G4809">
        <v>3</v>
      </c>
      <c r="H4809" t="s">
        <v>24</v>
      </c>
      <c r="I4809" t="s">
        <v>222</v>
      </c>
      <c r="J4809" t="s">
        <v>26</v>
      </c>
      <c r="K4809" t="s">
        <v>20</v>
      </c>
      <c r="L4809" t="s">
        <v>11247</v>
      </c>
      <c r="M4809" s="3" t="str">
        <f>HYPERLINK("..\..\Imagery\ScannedPhotos\1986\CG86-017.1.jpg")</f>
        <v>..\..\Imagery\ScannedPhotos\1986\CG86-017.1.jpg</v>
      </c>
    </row>
    <row r="4810" spans="1:13" x14ac:dyDescent="0.25">
      <c r="A4810" t="s">
        <v>6233</v>
      </c>
      <c r="B4810">
        <v>551008</v>
      </c>
      <c r="C4810">
        <v>5821597</v>
      </c>
      <c r="D4810">
        <v>21</v>
      </c>
      <c r="E4810" t="s">
        <v>15</v>
      </c>
      <c r="F4810" t="s">
        <v>11248</v>
      </c>
      <c r="G4810">
        <v>3</v>
      </c>
      <c r="H4810" t="s">
        <v>24</v>
      </c>
      <c r="I4810" t="s">
        <v>418</v>
      </c>
      <c r="J4810" t="s">
        <v>26</v>
      </c>
      <c r="K4810" t="s">
        <v>20</v>
      </c>
      <c r="L4810" t="s">
        <v>11249</v>
      </c>
      <c r="M4810" s="3" t="str">
        <f>HYPERLINK("..\..\Imagery\ScannedPhotos\1986\CG86-017.2.jpg")</f>
        <v>..\..\Imagery\ScannedPhotos\1986\CG86-017.2.jpg</v>
      </c>
    </row>
    <row r="4811" spans="1:13" x14ac:dyDescent="0.25">
      <c r="A4811" t="s">
        <v>11250</v>
      </c>
      <c r="B4811">
        <v>448420</v>
      </c>
      <c r="C4811">
        <v>5773400</v>
      </c>
      <c r="D4811">
        <v>21</v>
      </c>
      <c r="E4811" t="s">
        <v>15</v>
      </c>
      <c r="F4811" t="s">
        <v>11251</v>
      </c>
      <c r="G4811">
        <v>1</v>
      </c>
      <c r="H4811" t="s">
        <v>4076</v>
      </c>
      <c r="I4811" t="s">
        <v>647</v>
      </c>
      <c r="J4811" t="s">
        <v>905</v>
      </c>
      <c r="K4811" t="s">
        <v>56</v>
      </c>
      <c r="L4811" t="s">
        <v>11252</v>
      </c>
      <c r="M4811" s="3" t="str">
        <f>HYPERLINK("..\..\Imagery\ScannedPhotos\1992\VN92-190.jpg")</f>
        <v>..\..\Imagery\ScannedPhotos\1992\VN92-190.jpg</v>
      </c>
    </row>
    <row r="4812" spans="1:13" x14ac:dyDescent="0.25">
      <c r="A4812" t="s">
        <v>11253</v>
      </c>
      <c r="B4812">
        <v>447888</v>
      </c>
      <c r="C4812">
        <v>5772765</v>
      </c>
      <c r="D4812">
        <v>21</v>
      </c>
      <c r="E4812" t="s">
        <v>15</v>
      </c>
      <c r="F4812" t="s">
        <v>11254</v>
      </c>
      <c r="G4812">
        <v>2</v>
      </c>
      <c r="H4812" t="s">
        <v>4076</v>
      </c>
      <c r="I4812" t="s">
        <v>114</v>
      </c>
      <c r="J4812" t="s">
        <v>905</v>
      </c>
      <c r="K4812" t="s">
        <v>20</v>
      </c>
      <c r="L4812" t="s">
        <v>11255</v>
      </c>
      <c r="M4812" s="3" t="str">
        <f>HYPERLINK("..\..\Imagery\ScannedPhotos\1992\VN92-192.2.jpg")</f>
        <v>..\..\Imagery\ScannedPhotos\1992\VN92-192.2.jpg</v>
      </c>
    </row>
    <row r="4813" spans="1:13" x14ac:dyDescent="0.25">
      <c r="A4813" t="s">
        <v>11253</v>
      </c>
      <c r="B4813">
        <v>447888</v>
      </c>
      <c r="C4813">
        <v>5772765</v>
      </c>
      <c r="D4813">
        <v>21</v>
      </c>
      <c r="E4813" t="s">
        <v>15</v>
      </c>
      <c r="F4813" t="s">
        <v>11256</v>
      </c>
      <c r="G4813">
        <v>2</v>
      </c>
      <c r="H4813" t="s">
        <v>4076</v>
      </c>
      <c r="I4813" t="s">
        <v>30</v>
      </c>
      <c r="J4813" t="s">
        <v>905</v>
      </c>
      <c r="K4813" t="s">
        <v>20</v>
      </c>
      <c r="L4813" t="s">
        <v>11255</v>
      </c>
      <c r="M4813" s="3" t="str">
        <f>HYPERLINK("..\..\Imagery\ScannedPhotos\1992\VN92-192.1.jpg")</f>
        <v>..\..\Imagery\ScannedPhotos\1992\VN92-192.1.jpg</v>
      </c>
    </row>
    <row r="4814" spans="1:13" x14ac:dyDescent="0.25">
      <c r="A4814" t="s">
        <v>11257</v>
      </c>
      <c r="B4814">
        <v>447411</v>
      </c>
      <c r="C4814">
        <v>5772661</v>
      </c>
      <c r="D4814">
        <v>21</v>
      </c>
      <c r="E4814" t="s">
        <v>15</v>
      </c>
      <c r="F4814" t="s">
        <v>11258</v>
      </c>
      <c r="G4814">
        <v>1</v>
      </c>
      <c r="H4814" t="s">
        <v>4076</v>
      </c>
      <c r="I4814" t="s">
        <v>119</v>
      </c>
      <c r="J4814" t="s">
        <v>905</v>
      </c>
      <c r="K4814" t="s">
        <v>20</v>
      </c>
      <c r="L4814" t="s">
        <v>11255</v>
      </c>
      <c r="M4814" s="3" t="str">
        <f>HYPERLINK("..\..\Imagery\ScannedPhotos\1992\VN92-193.jpg")</f>
        <v>..\..\Imagery\ScannedPhotos\1992\VN92-193.jpg</v>
      </c>
    </row>
    <row r="4815" spans="1:13" x14ac:dyDescent="0.25">
      <c r="A4815" t="s">
        <v>11259</v>
      </c>
      <c r="B4815">
        <v>447220</v>
      </c>
      <c r="C4815">
        <v>5772330</v>
      </c>
      <c r="D4815">
        <v>21</v>
      </c>
      <c r="E4815" t="s">
        <v>15</v>
      </c>
      <c r="F4815" t="s">
        <v>11260</v>
      </c>
      <c r="G4815">
        <v>1</v>
      </c>
      <c r="H4815" t="s">
        <v>4076</v>
      </c>
      <c r="I4815" t="s">
        <v>126</v>
      </c>
      <c r="J4815" t="s">
        <v>905</v>
      </c>
      <c r="K4815" t="s">
        <v>20</v>
      </c>
      <c r="L4815" t="s">
        <v>11261</v>
      </c>
      <c r="M4815" s="3" t="str">
        <f>HYPERLINK("..\..\Imagery\ScannedPhotos\1992\VN92-194.jpg")</f>
        <v>..\..\Imagery\ScannedPhotos\1992\VN92-194.jpg</v>
      </c>
    </row>
    <row r="4816" spans="1:13" x14ac:dyDescent="0.25">
      <c r="A4816" t="s">
        <v>7301</v>
      </c>
      <c r="B4816">
        <v>439140</v>
      </c>
      <c r="C4816">
        <v>5763445</v>
      </c>
      <c r="D4816">
        <v>21</v>
      </c>
      <c r="E4816" t="s">
        <v>15</v>
      </c>
      <c r="F4816" t="s">
        <v>11262</v>
      </c>
      <c r="G4816">
        <v>5</v>
      </c>
      <c r="H4816" t="s">
        <v>2439</v>
      </c>
      <c r="I4816" t="s">
        <v>30</v>
      </c>
      <c r="J4816" t="s">
        <v>2440</v>
      </c>
      <c r="K4816" t="s">
        <v>20</v>
      </c>
      <c r="L4816" t="s">
        <v>11263</v>
      </c>
      <c r="M4816" s="3" t="str">
        <f>HYPERLINK("..\..\Imagery\ScannedPhotos\1992\VN92-223.4.jpg")</f>
        <v>..\..\Imagery\ScannedPhotos\1992\VN92-223.4.jpg</v>
      </c>
    </row>
    <row r="4817" spans="1:13" x14ac:dyDescent="0.25">
      <c r="A4817" t="s">
        <v>7301</v>
      </c>
      <c r="B4817">
        <v>439140</v>
      </c>
      <c r="C4817">
        <v>5763445</v>
      </c>
      <c r="D4817">
        <v>21</v>
      </c>
      <c r="E4817" t="s">
        <v>15</v>
      </c>
      <c r="F4817" t="s">
        <v>11264</v>
      </c>
      <c r="G4817">
        <v>5</v>
      </c>
      <c r="H4817" t="s">
        <v>904</v>
      </c>
      <c r="I4817" t="s">
        <v>647</v>
      </c>
      <c r="J4817" t="s">
        <v>905</v>
      </c>
      <c r="K4817" t="s">
        <v>20</v>
      </c>
      <c r="L4817" t="s">
        <v>7303</v>
      </c>
      <c r="M4817" s="3" t="str">
        <f>HYPERLINK("..\..\Imagery\ScannedPhotos\1992\VN92-223.2.jpg")</f>
        <v>..\..\Imagery\ScannedPhotos\1992\VN92-223.2.jpg</v>
      </c>
    </row>
    <row r="4818" spans="1:13" x14ac:dyDescent="0.25">
      <c r="A4818" t="s">
        <v>11265</v>
      </c>
      <c r="B4818">
        <v>488896</v>
      </c>
      <c r="C4818">
        <v>5785090</v>
      </c>
      <c r="D4818">
        <v>21</v>
      </c>
      <c r="E4818" t="s">
        <v>15</v>
      </c>
      <c r="F4818" t="s">
        <v>11266</v>
      </c>
      <c r="G4818">
        <v>3</v>
      </c>
      <c r="H4818" t="s">
        <v>2340</v>
      </c>
      <c r="I4818" t="s">
        <v>217</v>
      </c>
      <c r="J4818" t="s">
        <v>2341</v>
      </c>
      <c r="K4818" t="s">
        <v>56</v>
      </c>
      <c r="L4818" t="s">
        <v>356</v>
      </c>
      <c r="M4818" s="3" t="str">
        <f>HYPERLINK("..\..\Imagery\ScannedPhotos\1992\HP92-058.3.jpg")</f>
        <v>..\..\Imagery\ScannedPhotos\1992\HP92-058.3.jpg</v>
      </c>
    </row>
    <row r="4819" spans="1:13" x14ac:dyDescent="0.25">
      <c r="A4819" t="s">
        <v>11265</v>
      </c>
      <c r="B4819">
        <v>488896</v>
      </c>
      <c r="C4819">
        <v>5785090</v>
      </c>
      <c r="D4819">
        <v>21</v>
      </c>
      <c r="E4819" t="s">
        <v>15</v>
      </c>
      <c r="F4819" t="s">
        <v>11267</v>
      </c>
      <c r="G4819">
        <v>3</v>
      </c>
      <c r="H4819" t="s">
        <v>2340</v>
      </c>
      <c r="I4819" t="s">
        <v>209</v>
      </c>
      <c r="J4819" t="s">
        <v>2341</v>
      </c>
      <c r="K4819" t="s">
        <v>56</v>
      </c>
      <c r="L4819" t="s">
        <v>356</v>
      </c>
      <c r="M4819" s="3" t="str">
        <f>HYPERLINK("..\..\Imagery\ScannedPhotos\1992\HP92-058.1.jpg")</f>
        <v>..\..\Imagery\ScannedPhotos\1992\HP92-058.1.jpg</v>
      </c>
    </row>
    <row r="4820" spans="1:13" x14ac:dyDescent="0.25">
      <c r="A4820" t="s">
        <v>11268</v>
      </c>
      <c r="B4820">
        <v>446700</v>
      </c>
      <c r="C4820">
        <v>5810830</v>
      </c>
      <c r="D4820">
        <v>21</v>
      </c>
      <c r="E4820" t="s">
        <v>15</v>
      </c>
      <c r="F4820" t="s">
        <v>11269</v>
      </c>
      <c r="G4820">
        <v>1</v>
      </c>
      <c r="H4820" t="s">
        <v>2340</v>
      </c>
      <c r="I4820" t="s">
        <v>418</v>
      </c>
      <c r="J4820" t="s">
        <v>2341</v>
      </c>
      <c r="K4820" t="s">
        <v>20</v>
      </c>
      <c r="L4820" t="s">
        <v>6601</v>
      </c>
      <c r="M4820" s="3" t="str">
        <f>HYPERLINK("..\..\Imagery\ScannedPhotos\1992\HP92-062.jpg")</f>
        <v>..\..\Imagery\ScannedPhotos\1992\HP92-062.jpg</v>
      </c>
    </row>
    <row r="4821" spans="1:13" x14ac:dyDescent="0.25">
      <c r="A4821" t="s">
        <v>2338</v>
      </c>
      <c r="B4821">
        <v>498459</v>
      </c>
      <c r="C4821">
        <v>5791161</v>
      </c>
      <c r="D4821">
        <v>21</v>
      </c>
      <c r="E4821" t="s">
        <v>15</v>
      </c>
      <c r="F4821" t="s">
        <v>11270</v>
      </c>
      <c r="G4821">
        <v>6</v>
      </c>
      <c r="H4821" t="s">
        <v>2340</v>
      </c>
      <c r="I4821" t="s">
        <v>647</v>
      </c>
      <c r="J4821" t="s">
        <v>2341</v>
      </c>
      <c r="K4821" t="s">
        <v>20</v>
      </c>
      <c r="L4821" t="s">
        <v>772</v>
      </c>
      <c r="M4821" s="3" t="str">
        <f>HYPERLINK("..\..\Imagery\ScannedPhotos\1992\HP92-082.5.jpg")</f>
        <v>..\..\Imagery\ScannedPhotos\1992\HP92-082.5.jpg</v>
      </c>
    </row>
    <row r="4822" spans="1:13" x14ac:dyDescent="0.25">
      <c r="A4822" t="s">
        <v>2338</v>
      </c>
      <c r="B4822">
        <v>498459</v>
      </c>
      <c r="C4822">
        <v>5791161</v>
      </c>
      <c r="D4822">
        <v>21</v>
      </c>
      <c r="E4822" t="s">
        <v>15</v>
      </c>
      <c r="F4822" t="s">
        <v>11271</v>
      </c>
      <c r="G4822">
        <v>6</v>
      </c>
      <c r="H4822" t="s">
        <v>2340</v>
      </c>
      <c r="I4822" t="s">
        <v>25</v>
      </c>
      <c r="J4822" t="s">
        <v>2341</v>
      </c>
      <c r="K4822" t="s">
        <v>56</v>
      </c>
      <c r="L4822" t="s">
        <v>11272</v>
      </c>
      <c r="M4822" s="3" t="str">
        <f>HYPERLINK("..\..\Imagery\ScannedPhotos\1992\HP92-082.3.jpg")</f>
        <v>..\..\Imagery\ScannedPhotos\1992\HP92-082.3.jpg</v>
      </c>
    </row>
    <row r="4823" spans="1:13" x14ac:dyDescent="0.25">
      <c r="A4823" t="s">
        <v>11273</v>
      </c>
      <c r="B4823">
        <v>404029</v>
      </c>
      <c r="C4823">
        <v>5987124</v>
      </c>
      <c r="D4823">
        <v>21</v>
      </c>
      <c r="E4823" t="s">
        <v>15</v>
      </c>
      <c r="F4823" t="s">
        <v>11274</v>
      </c>
      <c r="G4823">
        <v>3</v>
      </c>
      <c r="H4823" t="s">
        <v>2967</v>
      </c>
      <c r="I4823" t="s">
        <v>294</v>
      </c>
      <c r="J4823" t="s">
        <v>2968</v>
      </c>
      <c r="K4823" t="s">
        <v>20</v>
      </c>
      <c r="L4823" t="s">
        <v>7373</v>
      </c>
      <c r="M4823" s="3" t="str">
        <f>HYPERLINK("..\..\Imagery\ScannedPhotos\1980\RG80-088.1.jpg")</f>
        <v>..\..\Imagery\ScannedPhotos\1980\RG80-088.1.jpg</v>
      </c>
    </row>
    <row r="4824" spans="1:13" x14ac:dyDescent="0.25">
      <c r="A4824" t="s">
        <v>11273</v>
      </c>
      <c r="B4824">
        <v>404029</v>
      </c>
      <c r="C4824">
        <v>5987124</v>
      </c>
      <c r="D4824">
        <v>21</v>
      </c>
      <c r="E4824" t="s">
        <v>15</v>
      </c>
      <c r="F4824" t="s">
        <v>11275</v>
      </c>
      <c r="G4824">
        <v>3</v>
      </c>
      <c r="H4824" t="s">
        <v>2967</v>
      </c>
      <c r="I4824" t="s">
        <v>79</v>
      </c>
      <c r="J4824" t="s">
        <v>2968</v>
      </c>
      <c r="K4824" t="s">
        <v>20</v>
      </c>
      <c r="L4824" t="s">
        <v>7373</v>
      </c>
      <c r="M4824" s="3" t="str">
        <f>HYPERLINK("..\..\Imagery\ScannedPhotos\1980\RG80-088.2.jpg")</f>
        <v>..\..\Imagery\ScannedPhotos\1980\RG80-088.2.jpg</v>
      </c>
    </row>
    <row r="4825" spans="1:13" x14ac:dyDescent="0.25">
      <c r="A4825" t="s">
        <v>11273</v>
      </c>
      <c r="B4825">
        <v>404029</v>
      </c>
      <c r="C4825">
        <v>5987124</v>
      </c>
      <c r="D4825">
        <v>21</v>
      </c>
      <c r="E4825" t="s">
        <v>15</v>
      </c>
      <c r="F4825" t="s">
        <v>11276</v>
      </c>
      <c r="G4825">
        <v>3</v>
      </c>
      <c r="H4825" t="s">
        <v>2967</v>
      </c>
      <c r="I4825" t="s">
        <v>281</v>
      </c>
      <c r="J4825" t="s">
        <v>2968</v>
      </c>
      <c r="K4825" t="s">
        <v>20</v>
      </c>
      <c r="L4825" t="s">
        <v>7373</v>
      </c>
      <c r="M4825" s="3" t="str">
        <f>HYPERLINK("..\..\Imagery\ScannedPhotos\1980\RG80-088.3.jpg")</f>
        <v>..\..\Imagery\ScannedPhotos\1980\RG80-088.3.jpg</v>
      </c>
    </row>
    <row r="4826" spans="1:13" x14ac:dyDescent="0.25">
      <c r="A4826" t="s">
        <v>11277</v>
      </c>
      <c r="B4826">
        <v>404818</v>
      </c>
      <c r="C4826">
        <v>5987717</v>
      </c>
      <c r="D4826">
        <v>21</v>
      </c>
      <c r="E4826" t="s">
        <v>15</v>
      </c>
      <c r="F4826" t="s">
        <v>11278</v>
      </c>
      <c r="G4826">
        <v>1</v>
      </c>
      <c r="H4826" t="s">
        <v>2967</v>
      </c>
      <c r="I4826" t="s">
        <v>18</v>
      </c>
      <c r="J4826" t="s">
        <v>2968</v>
      </c>
      <c r="K4826" t="s">
        <v>20</v>
      </c>
      <c r="L4826" t="s">
        <v>4867</v>
      </c>
      <c r="M4826" s="3" t="str">
        <f>HYPERLINK("..\..\Imagery\ScannedPhotos\1980\RG80-091.jpg")</f>
        <v>..\..\Imagery\ScannedPhotos\1980\RG80-091.jpg</v>
      </c>
    </row>
    <row r="4827" spans="1:13" x14ac:dyDescent="0.25">
      <c r="A4827" t="s">
        <v>11279</v>
      </c>
      <c r="B4827">
        <v>405218</v>
      </c>
      <c r="C4827">
        <v>5987743</v>
      </c>
      <c r="D4827">
        <v>21</v>
      </c>
      <c r="E4827" t="s">
        <v>15</v>
      </c>
      <c r="F4827" t="s">
        <v>11280</v>
      </c>
      <c r="G4827">
        <v>1</v>
      </c>
      <c r="H4827" t="s">
        <v>2967</v>
      </c>
      <c r="I4827" t="s">
        <v>35</v>
      </c>
      <c r="J4827" t="s">
        <v>2968</v>
      </c>
      <c r="K4827" t="s">
        <v>20</v>
      </c>
      <c r="L4827" t="s">
        <v>11281</v>
      </c>
      <c r="M4827" s="3" t="str">
        <f>HYPERLINK("..\..\Imagery\ScannedPhotos\1980\RG80-092.jpg")</f>
        <v>..\..\Imagery\ScannedPhotos\1980\RG80-092.jpg</v>
      </c>
    </row>
    <row r="4828" spans="1:13" x14ac:dyDescent="0.25">
      <c r="A4828" t="s">
        <v>9907</v>
      </c>
      <c r="B4828">
        <v>562715</v>
      </c>
      <c r="C4828">
        <v>5833408</v>
      </c>
      <c r="D4828">
        <v>21</v>
      </c>
      <c r="E4828" t="s">
        <v>15</v>
      </c>
      <c r="F4828" t="s">
        <v>11282</v>
      </c>
      <c r="G4828">
        <v>2</v>
      </c>
      <c r="H4828" t="s">
        <v>1851</v>
      </c>
      <c r="I4828" t="s">
        <v>418</v>
      </c>
      <c r="J4828" t="s">
        <v>1852</v>
      </c>
      <c r="K4828" t="s">
        <v>20</v>
      </c>
      <c r="L4828" t="s">
        <v>11283</v>
      </c>
      <c r="M4828" s="3" t="str">
        <f>HYPERLINK("..\..\Imagery\ScannedPhotos\1986\MN86-329.1.jpg")</f>
        <v>..\..\Imagery\ScannedPhotos\1986\MN86-329.1.jpg</v>
      </c>
    </row>
    <row r="4829" spans="1:13" x14ac:dyDescent="0.25">
      <c r="A4829" t="s">
        <v>6368</v>
      </c>
      <c r="B4829">
        <v>433450</v>
      </c>
      <c r="C4829">
        <v>5898751</v>
      </c>
      <c r="D4829">
        <v>21</v>
      </c>
      <c r="E4829" t="s">
        <v>15</v>
      </c>
      <c r="F4829" t="s">
        <v>11284</v>
      </c>
      <c r="G4829">
        <v>3</v>
      </c>
      <c r="H4829" t="s">
        <v>2065</v>
      </c>
      <c r="I4829" t="s">
        <v>132</v>
      </c>
      <c r="J4829" t="s">
        <v>156</v>
      </c>
      <c r="K4829" t="s">
        <v>56</v>
      </c>
      <c r="L4829" t="s">
        <v>5462</v>
      </c>
      <c r="M4829" s="3" t="str">
        <f>HYPERLINK("..\..\Imagery\ScannedPhotos\1984\NN84-067.1.jpg")</f>
        <v>..\..\Imagery\ScannedPhotos\1984\NN84-067.1.jpg</v>
      </c>
    </row>
    <row r="4830" spans="1:13" x14ac:dyDescent="0.25">
      <c r="A4830" t="s">
        <v>11285</v>
      </c>
      <c r="B4830">
        <v>445623</v>
      </c>
      <c r="C4830">
        <v>5904455</v>
      </c>
      <c r="D4830">
        <v>21</v>
      </c>
      <c r="E4830" t="s">
        <v>15</v>
      </c>
      <c r="F4830" t="s">
        <v>11286</v>
      </c>
      <c r="G4830">
        <v>1</v>
      </c>
      <c r="H4830" t="s">
        <v>2065</v>
      </c>
      <c r="I4830" t="s">
        <v>147</v>
      </c>
      <c r="J4830" t="s">
        <v>156</v>
      </c>
      <c r="K4830" t="s">
        <v>20</v>
      </c>
      <c r="L4830" t="s">
        <v>11287</v>
      </c>
      <c r="M4830" s="3" t="str">
        <f>HYPERLINK("..\..\Imagery\ScannedPhotos\1984\NN84-071.jpg")</f>
        <v>..\..\Imagery\ScannedPhotos\1984\NN84-071.jpg</v>
      </c>
    </row>
    <row r="4831" spans="1:13" x14ac:dyDescent="0.25">
      <c r="A4831" t="s">
        <v>9535</v>
      </c>
      <c r="B4831">
        <v>495136</v>
      </c>
      <c r="C4831">
        <v>5843036</v>
      </c>
      <c r="D4831">
        <v>21</v>
      </c>
      <c r="E4831" t="s">
        <v>15</v>
      </c>
      <c r="F4831" t="s">
        <v>11288</v>
      </c>
      <c r="G4831">
        <v>2</v>
      </c>
      <c r="H4831" t="s">
        <v>1037</v>
      </c>
      <c r="I4831" t="s">
        <v>304</v>
      </c>
      <c r="J4831" t="s">
        <v>1038</v>
      </c>
      <c r="K4831" t="s">
        <v>20</v>
      </c>
      <c r="L4831" t="s">
        <v>11289</v>
      </c>
      <c r="M4831" s="3" t="str">
        <f>HYPERLINK("..\..\Imagery\ScannedPhotos\1991\VN91-465.2.jpg")</f>
        <v>..\..\Imagery\ScannedPhotos\1991\VN91-465.2.jpg</v>
      </c>
    </row>
    <row r="4832" spans="1:13" x14ac:dyDescent="0.25">
      <c r="A4832" t="s">
        <v>11290</v>
      </c>
      <c r="B4832">
        <v>495012</v>
      </c>
      <c r="C4832">
        <v>5842833</v>
      </c>
      <c r="D4832">
        <v>21</v>
      </c>
      <c r="E4832" t="s">
        <v>15</v>
      </c>
      <c r="F4832" t="s">
        <v>11291</v>
      </c>
      <c r="G4832">
        <v>2</v>
      </c>
      <c r="H4832" t="s">
        <v>1037</v>
      </c>
      <c r="I4832" t="s">
        <v>25</v>
      </c>
      <c r="J4832" t="s">
        <v>1038</v>
      </c>
      <c r="K4832" t="s">
        <v>20</v>
      </c>
      <c r="L4832" t="s">
        <v>11292</v>
      </c>
      <c r="M4832" s="3" t="str">
        <f>HYPERLINK("..\..\Imagery\ScannedPhotos\1991\VN91-466.1.jpg")</f>
        <v>..\..\Imagery\ScannedPhotos\1991\VN91-466.1.jpg</v>
      </c>
    </row>
    <row r="4833" spans="1:13" x14ac:dyDescent="0.25">
      <c r="A4833" t="s">
        <v>11290</v>
      </c>
      <c r="B4833">
        <v>495012</v>
      </c>
      <c r="C4833">
        <v>5842833</v>
      </c>
      <c r="D4833">
        <v>21</v>
      </c>
      <c r="E4833" t="s">
        <v>15</v>
      </c>
      <c r="F4833" t="s">
        <v>11293</v>
      </c>
      <c r="G4833">
        <v>2</v>
      </c>
      <c r="H4833" t="s">
        <v>1037</v>
      </c>
      <c r="I4833" t="s">
        <v>360</v>
      </c>
      <c r="J4833" t="s">
        <v>1038</v>
      </c>
      <c r="K4833" t="s">
        <v>20</v>
      </c>
      <c r="L4833" t="s">
        <v>11294</v>
      </c>
      <c r="M4833" s="3" t="str">
        <f>HYPERLINK("..\..\Imagery\ScannedPhotos\1991\VN91-466.2.jpg")</f>
        <v>..\..\Imagery\ScannedPhotos\1991\VN91-466.2.jpg</v>
      </c>
    </row>
    <row r="4834" spans="1:13" x14ac:dyDescent="0.25">
      <c r="A4834" t="s">
        <v>11295</v>
      </c>
      <c r="B4834">
        <v>497925</v>
      </c>
      <c r="C4834">
        <v>5868175</v>
      </c>
      <c r="D4834">
        <v>21</v>
      </c>
      <c r="E4834" t="s">
        <v>15</v>
      </c>
      <c r="F4834" t="s">
        <v>11296</v>
      </c>
      <c r="G4834">
        <v>2</v>
      </c>
      <c r="H4834" t="s">
        <v>1037</v>
      </c>
      <c r="I4834" t="s">
        <v>30</v>
      </c>
      <c r="J4834" t="s">
        <v>1038</v>
      </c>
      <c r="K4834" t="s">
        <v>56</v>
      </c>
      <c r="L4834" t="s">
        <v>11297</v>
      </c>
      <c r="M4834" s="3" t="str">
        <f>HYPERLINK("..\..\Imagery\ScannedPhotos\1991\VN91-467.1.jpg")</f>
        <v>..\..\Imagery\ScannedPhotos\1991\VN91-467.1.jpg</v>
      </c>
    </row>
    <row r="4835" spans="1:13" x14ac:dyDescent="0.25">
      <c r="A4835" t="s">
        <v>11295</v>
      </c>
      <c r="B4835">
        <v>497925</v>
      </c>
      <c r="C4835">
        <v>5868175</v>
      </c>
      <c r="D4835">
        <v>21</v>
      </c>
      <c r="E4835" t="s">
        <v>15</v>
      </c>
      <c r="F4835" t="s">
        <v>11298</v>
      </c>
      <c r="G4835">
        <v>2</v>
      </c>
      <c r="H4835" t="s">
        <v>1037</v>
      </c>
      <c r="I4835" t="s">
        <v>114</v>
      </c>
      <c r="J4835" t="s">
        <v>1038</v>
      </c>
      <c r="K4835" t="s">
        <v>56</v>
      </c>
      <c r="L4835" t="s">
        <v>11299</v>
      </c>
      <c r="M4835" s="3" t="str">
        <f>HYPERLINK("..\..\Imagery\ScannedPhotos\1991\VN91-467.2.jpg")</f>
        <v>..\..\Imagery\ScannedPhotos\1991\VN91-467.2.jpg</v>
      </c>
    </row>
    <row r="4836" spans="1:13" x14ac:dyDescent="0.25">
      <c r="A4836" t="s">
        <v>11300</v>
      </c>
      <c r="B4836">
        <v>499900</v>
      </c>
      <c r="C4836">
        <v>5815525</v>
      </c>
      <c r="D4836">
        <v>21</v>
      </c>
      <c r="E4836" t="s">
        <v>15</v>
      </c>
      <c r="F4836" t="s">
        <v>11301</v>
      </c>
      <c r="G4836">
        <v>2</v>
      </c>
      <c r="H4836" t="s">
        <v>1095</v>
      </c>
      <c r="I4836" t="s">
        <v>294</v>
      </c>
      <c r="J4836" t="s">
        <v>1096</v>
      </c>
      <c r="K4836" t="s">
        <v>20</v>
      </c>
      <c r="L4836" t="s">
        <v>11302</v>
      </c>
      <c r="M4836" s="3" t="str">
        <f>HYPERLINK("..\..\Imagery\ScannedPhotos\1992\VN92-001.1.jpg")</f>
        <v>..\..\Imagery\ScannedPhotos\1992\VN92-001.1.jpg</v>
      </c>
    </row>
    <row r="4837" spans="1:13" x14ac:dyDescent="0.25">
      <c r="A4837" t="s">
        <v>11300</v>
      </c>
      <c r="B4837">
        <v>499900</v>
      </c>
      <c r="C4837">
        <v>5815525</v>
      </c>
      <c r="D4837">
        <v>21</v>
      </c>
      <c r="E4837" t="s">
        <v>15</v>
      </c>
      <c r="F4837" t="s">
        <v>11303</v>
      </c>
      <c r="G4837">
        <v>2</v>
      </c>
      <c r="H4837" t="s">
        <v>1095</v>
      </c>
      <c r="I4837" t="s">
        <v>79</v>
      </c>
      <c r="J4837" t="s">
        <v>1096</v>
      </c>
      <c r="K4837" t="s">
        <v>20</v>
      </c>
      <c r="L4837" t="s">
        <v>11302</v>
      </c>
      <c r="M4837" s="3" t="str">
        <f>HYPERLINK("..\..\Imagery\ScannedPhotos\1992\VN92-001.2.jpg")</f>
        <v>..\..\Imagery\ScannedPhotos\1992\VN92-001.2.jpg</v>
      </c>
    </row>
    <row r="4838" spans="1:13" x14ac:dyDescent="0.25">
      <c r="A4838" t="s">
        <v>11304</v>
      </c>
      <c r="B4838">
        <v>498575</v>
      </c>
      <c r="C4838">
        <v>5814650</v>
      </c>
      <c r="D4838">
        <v>21</v>
      </c>
      <c r="E4838" t="s">
        <v>15</v>
      </c>
      <c r="F4838" t="s">
        <v>11305</v>
      </c>
      <c r="G4838">
        <v>2</v>
      </c>
      <c r="H4838" t="s">
        <v>1095</v>
      </c>
      <c r="I4838" t="s">
        <v>281</v>
      </c>
      <c r="J4838" t="s">
        <v>1096</v>
      </c>
      <c r="K4838" t="s">
        <v>56</v>
      </c>
      <c r="L4838" t="s">
        <v>11306</v>
      </c>
      <c r="M4838" s="3" t="str">
        <f>HYPERLINK("..\..\Imagery\ScannedPhotos\1992\VN92-003.1.jpg")</f>
        <v>..\..\Imagery\ScannedPhotos\1992\VN92-003.1.jpg</v>
      </c>
    </row>
    <row r="4839" spans="1:13" x14ac:dyDescent="0.25">
      <c r="A4839" t="s">
        <v>11307</v>
      </c>
      <c r="B4839">
        <v>444787</v>
      </c>
      <c r="C4839">
        <v>5925148</v>
      </c>
      <c r="D4839">
        <v>21</v>
      </c>
      <c r="E4839" t="s">
        <v>15</v>
      </c>
      <c r="F4839" t="s">
        <v>11308</v>
      </c>
      <c r="G4839">
        <v>3</v>
      </c>
      <c r="H4839" t="s">
        <v>3308</v>
      </c>
      <c r="I4839" t="s">
        <v>375</v>
      </c>
      <c r="J4839" t="s">
        <v>3309</v>
      </c>
      <c r="K4839" t="s">
        <v>56</v>
      </c>
      <c r="L4839" t="s">
        <v>11309</v>
      </c>
      <c r="M4839" s="3" t="str">
        <f>HYPERLINK("..\..\Imagery\ScannedPhotos\1984\NN84-391.3.jpg")</f>
        <v>..\..\Imagery\ScannedPhotos\1984\NN84-391.3.jpg</v>
      </c>
    </row>
    <row r="4840" spans="1:13" x14ac:dyDescent="0.25">
      <c r="A4840" t="s">
        <v>11307</v>
      </c>
      <c r="B4840">
        <v>444787</v>
      </c>
      <c r="C4840">
        <v>5925148</v>
      </c>
      <c r="D4840">
        <v>21</v>
      </c>
      <c r="E4840" t="s">
        <v>15</v>
      </c>
      <c r="F4840" t="s">
        <v>11310</v>
      </c>
      <c r="G4840">
        <v>3</v>
      </c>
      <c r="H4840" t="s">
        <v>3308</v>
      </c>
      <c r="I4840" t="s">
        <v>85</v>
      </c>
      <c r="J4840" t="s">
        <v>3309</v>
      </c>
      <c r="K4840" t="s">
        <v>56</v>
      </c>
      <c r="L4840" t="s">
        <v>11309</v>
      </c>
      <c r="M4840" s="3" t="str">
        <f>HYPERLINK("..\..\Imagery\ScannedPhotos\1984\NN84-391.2.jpg")</f>
        <v>..\..\Imagery\ScannedPhotos\1984\NN84-391.2.jpg</v>
      </c>
    </row>
    <row r="4841" spans="1:13" x14ac:dyDescent="0.25">
      <c r="A4841" t="s">
        <v>11307</v>
      </c>
      <c r="B4841">
        <v>444787</v>
      </c>
      <c r="C4841">
        <v>5925148</v>
      </c>
      <c r="D4841">
        <v>21</v>
      </c>
      <c r="E4841" t="s">
        <v>15</v>
      </c>
      <c r="F4841" t="s">
        <v>11311</v>
      </c>
      <c r="G4841">
        <v>3</v>
      </c>
      <c r="H4841" t="s">
        <v>3308</v>
      </c>
      <c r="I4841" t="s">
        <v>41</v>
      </c>
      <c r="J4841" t="s">
        <v>3309</v>
      </c>
      <c r="K4841" t="s">
        <v>20</v>
      </c>
      <c r="L4841" t="s">
        <v>11312</v>
      </c>
      <c r="M4841" s="3" t="str">
        <f>HYPERLINK("..\..\Imagery\ScannedPhotos\1984\NN84-391.1.jpg")</f>
        <v>..\..\Imagery\ScannedPhotos\1984\NN84-391.1.jpg</v>
      </c>
    </row>
    <row r="4842" spans="1:13" x14ac:dyDescent="0.25">
      <c r="A4842" t="s">
        <v>11313</v>
      </c>
      <c r="B4842">
        <v>461593</v>
      </c>
      <c r="C4842">
        <v>5920680</v>
      </c>
      <c r="D4842">
        <v>21</v>
      </c>
      <c r="E4842" t="s">
        <v>15</v>
      </c>
      <c r="F4842" t="s">
        <v>11314</v>
      </c>
      <c r="G4842">
        <v>1</v>
      </c>
      <c r="H4842" t="s">
        <v>3308</v>
      </c>
      <c r="I4842" t="s">
        <v>386</v>
      </c>
      <c r="J4842" t="s">
        <v>3309</v>
      </c>
      <c r="K4842" t="s">
        <v>56</v>
      </c>
      <c r="L4842" t="s">
        <v>11315</v>
      </c>
      <c r="M4842" s="3" t="str">
        <f>HYPERLINK("..\..\Imagery\ScannedPhotos\1984\NN84-415.jpg")</f>
        <v>..\..\Imagery\ScannedPhotos\1984\NN84-415.jpg</v>
      </c>
    </row>
    <row r="4843" spans="1:13" x14ac:dyDescent="0.25">
      <c r="A4843" t="s">
        <v>5450</v>
      </c>
      <c r="B4843">
        <v>488140</v>
      </c>
      <c r="C4843">
        <v>5821467</v>
      </c>
      <c r="D4843">
        <v>21</v>
      </c>
      <c r="E4843" t="s">
        <v>15</v>
      </c>
      <c r="F4843" t="s">
        <v>11316</v>
      </c>
      <c r="G4843">
        <v>3</v>
      </c>
      <c r="H4843" t="s">
        <v>2521</v>
      </c>
      <c r="I4843" t="s">
        <v>375</v>
      </c>
      <c r="J4843" t="s">
        <v>2522</v>
      </c>
      <c r="K4843" t="s">
        <v>20</v>
      </c>
      <c r="L4843" t="s">
        <v>11317</v>
      </c>
      <c r="M4843" s="3" t="str">
        <f>HYPERLINK("..\..\Imagery\ScannedPhotos\1991\VN91-388.1.jpg")</f>
        <v>..\..\Imagery\ScannedPhotos\1991\VN91-388.1.jpg</v>
      </c>
    </row>
    <row r="4844" spans="1:13" x14ac:dyDescent="0.25">
      <c r="A4844" t="s">
        <v>1403</v>
      </c>
      <c r="B4844">
        <v>537298</v>
      </c>
      <c r="C4844">
        <v>5961593</v>
      </c>
      <c r="D4844">
        <v>21</v>
      </c>
      <c r="E4844" t="s">
        <v>15</v>
      </c>
      <c r="F4844" t="s">
        <v>11318</v>
      </c>
      <c r="G4844">
        <v>31</v>
      </c>
      <c r="H4844" t="s">
        <v>1405</v>
      </c>
      <c r="I4844" t="s">
        <v>132</v>
      </c>
      <c r="J4844" t="s">
        <v>48</v>
      </c>
      <c r="K4844" t="s">
        <v>20</v>
      </c>
      <c r="L4844" t="s">
        <v>1985</v>
      </c>
      <c r="M4844" s="3" t="str">
        <f>HYPERLINK("..\..\Imagery\ScannedPhotos\1981\CG81-306.10.jpg")</f>
        <v>..\..\Imagery\ScannedPhotos\1981\CG81-306.10.jpg</v>
      </c>
    </row>
    <row r="4845" spans="1:13" x14ac:dyDescent="0.25">
      <c r="A4845" t="s">
        <v>11319</v>
      </c>
      <c r="B4845">
        <v>466515</v>
      </c>
      <c r="C4845">
        <v>6056261</v>
      </c>
      <c r="D4845">
        <v>21</v>
      </c>
      <c r="E4845" t="s">
        <v>15</v>
      </c>
      <c r="F4845" t="s">
        <v>11320</v>
      </c>
      <c r="G4845">
        <v>2</v>
      </c>
      <c r="H4845" t="s">
        <v>696</v>
      </c>
      <c r="I4845" t="s">
        <v>119</v>
      </c>
      <c r="J4845" t="s">
        <v>355</v>
      </c>
      <c r="K4845" t="s">
        <v>56</v>
      </c>
      <c r="L4845" t="s">
        <v>1834</v>
      </c>
      <c r="M4845" s="3" t="str">
        <f>HYPERLINK("..\..\Imagery\ScannedPhotos\1979\CG79-268.2.jpg")</f>
        <v>..\..\Imagery\ScannedPhotos\1979\CG79-268.2.jpg</v>
      </c>
    </row>
    <row r="4846" spans="1:13" x14ac:dyDescent="0.25">
      <c r="A4846" t="s">
        <v>9275</v>
      </c>
      <c r="B4846">
        <v>471470</v>
      </c>
      <c r="C4846">
        <v>6004481</v>
      </c>
      <c r="D4846">
        <v>21</v>
      </c>
      <c r="E4846" t="s">
        <v>15</v>
      </c>
      <c r="F4846" t="s">
        <v>11321</v>
      </c>
      <c r="G4846">
        <v>14</v>
      </c>
      <c r="H4846" t="s">
        <v>5650</v>
      </c>
      <c r="I4846" t="s">
        <v>386</v>
      </c>
      <c r="J4846" t="s">
        <v>5651</v>
      </c>
      <c r="K4846" t="s">
        <v>20</v>
      </c>
      <c r="L4846" t="s">
        <v>11322</v>
      </c>
      <c r="M4846" s="3" t="str">
        <f>HYPERLINK("..\..\Imagery\ScannedPhotos\1980\CG80-350.14.jpg")</f>
        <v>..\..\Imagery\ScannedPhotos\1980\CG80-350.14.jpg</v>
      </c>
    </row>
    <row r="4847" spans="1:13" x14ac:dyDescent="0.25">
      <c r="A4847" t="s">
        <v>9275</v>
      </c>
      <c r="B4847">
        <v>471470</v>
      </c>
      <c r="C4847">
        <v>6004481</v>
      </c>
      <c r="D4847">
        <v>21</v>
      </c>
      <c r="E4847" t="s">
        <v>15</v>
      </c>
      <c r="F4847" t="s">
        <v>11323</v>
      </c>
      <c r="G4847">
        <v>14</v>
      </c>
      <c r="H4847" t="s">
        <v>806</v>
      </c>
      <c r="I4847" t="s">
        <v>195</v>
      </c>
      <c r="J4847" t="s">
        <v>807</v>
      </c>
      <c r="K4847" t="s">
        <v>20</v>
      </c>
      <c r="L4847" t="s">
        <v>11324</v>
      </c>
      <c r="M4847" s="3" t="str">
        <f>HYPERLINK("..\..\Imagery\ScannedPhotos\1980\CG80-350.10.jpg")</f>
        <v>..\..\Imagery\ScannedPhotos\1980\CG80-350.10.jpg</v>
      </c>
    </row>
    <row r="4848" spans="1:13" x14ac:dyDescent="0.25">
      <c r="A4848" t="s">
        <v>9275</v>
      </c>
      <c r="B4848">
        <v>471470</v>
      </c>
      <c r="C4848">
        <v>6004481</v>
      </c>
      <c r="D4848">
        <v>21</v>
      </c>
      <c r="E4848" t="s">
        <v>15</v>
      </c>
      <c r="F4848" t="s">
        <v>11325</v>
      </c>
      <c r="G4848">
        <v>14</v>
      </c>
      <c r="H4848" t="s">
        <v>1326</v>
      </c>
      <c r="I4848" t="s">
        <v>304</v>
      </c>
      <c r="J4848" t="s">
        <v>95</v>
      </c>
      <c r="K4848" t="s">
        <v>20</v>
      </c>
      <c r="L4848" t="s">
        <v>11326</v>
      </c>
      <c r="M4848" s="3" t="str">
        <f>HYPERLINK("..\..\Imagery\ScannedPhotos\1980\CG80-350.2.jpg")</f>
        <v>..\..\Imagery\ScannedPhotos\1980\CG80-350.2.jpg</v>
      </c>
    </row>
    <row r="4849" spans="1:13" x14ac:dyDescent="0.25">
      <c r="A4849" t="s">
        <v>9275</v>
      </c>
      <c r="B4849">
        <v>471470</v>
      </c>
      <c r="C4849">
        <v>6004481</v>
      </c>
      <c r="D4849">
        <v>21</v>
      </c>
      <c r="E4849" t="s">
        <v>15</v>
      </c>
      <c r="F4849" t="s">
        <v>11327</v>
      </c>
      <c r="G4849">
        <v>14</v>
      </c>
      <c r="H4849" t="s">
        <v>806</v>
      </c>
      <c r="I4849" t="s">
        <v>386</v>
      </c>
      <c r="J4849" t="s">
        <v>807</v>
      </c>
      <c r="K4849" t="s">
        <v>20</v>
      </c>
      <c r="L4849" t="s">
        <v>9281</v>
      </c>
      <c r="M4849" s="3" t="str">
        <f>HYPERLINK("..\..\Imagery\ScannedPhotos\1980\CG80-350.4.jpg")</f>
        <v>..\..\Imagery\ScannedPhotos\1980\CG80-350.4.jpg</v>
      </c>
    </row>
    <row r="4850" spans="1:13" x14ac:dyDescent="0.25">
      <c r="A4850" t="s">
        <v>9275</v>
      </c>
      <c r="B4850">
        <v>471470</v>
      </c>
      <c r="C4850">
        <v>6004481</v>
      </c>
      <c r="D4850">
        <v>21</v>
      </c>
      <c r="E4850" t="s">
        <v>15</v>
      </c>
      <c r="F4850" t="s">
        <v>11328</v>
      </c>
      <c r="G4850">
        <v>14</v>
      </c>
      <c r="H4850" t="s">
        <v>5650</v>
      </c>
      <c r="I4850" t="s">
        <v>85</v>
      </c>
      <c r="J4850" t="s">
        <v>5651</v>
      </c>
      <c r="K4850" t="s">
        <v>20</v>
      </c>
      <c r="L4850" t="s">
        <v>11322</v>
      </c>
      <c r="M4850" s="3" t="str">
        <f>HYPERLINK("..\..\Imagery\ScannedPhotos\1980\CG80-350.11.jpg")</f>
        <v>..\..\Imagery\ScannedPhotos\1980\CG80-350.11.jpg</v>
      </c>
    </row>
    <row r="4851" spans="1:13" x14ac:dyDescent="0.25">
      <c r="A4851" t="s">
        <v>11329</v>
      </c>
      <c r="B4851">
        <v>491244</v>
      </c>
      <c r="C4851">
        <v>5894856</v>
      </c>
      <c r="D4851">
        <v>21</v>
      </c>
      <c r="E4851" t="s">
        <v>15</v>
      </c>
      <c r="F4851" t="s">
        <v>11330</v>
      </c>
      <c r="G4851">
        <v>1</v>
      </c>
      <c r="H4851" t="s">
        <v>2912</v>
      </c>
      <c r="I4851" t="s">
        <v>74</v>
      </c>
      <c r="J4851" t="s">
        <v>2913</v>
      </c>
      <c r="K4851" t="s">
        <v>20</v>
      </c>
      <c r="L4851" t="s">
        <v>11331</v>
      </c>
      <c r="M4851" s="3" t="str">
        <f>HYPERLINK("..\..\Imagery\ScannedPhotos\1984\VN84-166.jpg")</f>
        <v>..\..\Imagery\ScannedPhotos\1984\VN84-166.jpg</v>
      </c>
    </row>
    <row r="4852" spans="1:13" x14ac:dyDescent="0.25">
      <c r="A4852" t="s">
        <v>11332</v>
      </c>
      <c r="B4852">
        <v>490903</v>
      </c>
      <c r="C4852">
        <v>5898195</v>
      </c>
      <c r="D4852">
        <v>21</v>
      </c>
      <c r="E4852" t="s">
        <v>15</v>
      </c>
      <c r="F4852" t="s">
        <v>11333</v>
      </c>
      <c r="G4852">
        <v>1</v>
      </c>
      <c r="H4852" t="s">
        <v>2912</v>
      </c>
      <c r="I4852" t="s">
        <v>375</v>
      </c>
      <c r="J4852" t="s">
        <v>2913</v>
      </c>
      <c r="K4852" t="s">
        <v>20</v>
      </c>
      <c r="L4852" t="s">
        <v>9606</v>
      </c>
      <c r="M4852" s="3" t="str">
        <f>HYPERLINK("..\..\Imagery\ScannedPhotos\1984\VN84-179.jpg")</f>
        <v>..\..\Imagery\ScannedPhotos\1984\VN84-179.jpg</v>
      </c>
    </row>
    <row r="4853" spans="1:13" x14ac:dyDescent="0.25">
      <c r="A4853" t="s">
        <v>7787</v>
      </c>
      <c r="B4853">
        <v>493278</v>
      </c>
      <c r="C4853">
        <v>5896286</v>
      </c>
      <c r="D4853">
        <v>21</v>
      </c>
      <c r="E4853" t="s">
        <v>15</v>
      </c>
      <c r="F4853" t="s">
        <v>11334</v>
      </c>
      <c r="G4853">
        <v>5</v>
      </c>
      <c r="H4853" t="s">
        <v>2912</v>
      </c>
      <c r="I4853" t="s">
        <v>217</v>
      </c>
      <c r="J4853" t="s">
        <v>2913</v>
      </c>
      <c r="K4853" t="s">
        <v>20</v>
      </c>
      <c r="L4853" t="s">
        <v>11335</v>
      </c>
      <c r="M4853" s="3" t="str">
        <f>HYPERLINK("..\..\Imagery\ScannedPhotos\1984\VN84-189.3.jpg")</f>
        <v>..\..\Imagery\ScannedPhotos\1984\VN84-189.3.jpg</v>
      </c>
    </row>
    <row r="4854" spans="1:13" x14ac:dyDescent="0.25">
      <c r="A4854" t="s">
        <v>7787</v>
      </c>
      <c r="B4854">
        <v>493278</v>
      </c>
      <c r="C4854">
        <v>5896286</v>
      </c>
      <c r="D4854">
        <v>21</v>
      </c>
      <c r="E4854" t="s">
        <v>15</v>
      </c>
      <c r="F4854" t="s">
        <v>11336</v>
      </c>
      <c r="G4854">
        <v>5</v>
      </c>
      <c r="H4854" t="s">
        <v>4058</v>
      </c>
      <c r="I4854" t="s">
        <v>85</v>
      </c>
      <c r="J4854" t="s">
        <v>2247</v>
      </c>
      <c r="K4854" t="s">
        <v>56</v>
      </c>
      <c r="L4854" t="s">
        <v>11337</v>
      </c>
      <c r="M4854" s="3" t="str">
        <f>HYPERLINK("..\..\Imagery\ScannedPhotos\1984\VN84-189.5.jpg")</f>
        <v>..\..\Imagery\ScannedPhotos\1984\VN84-189.5.jpg</v>
      </c>
    </row>
    <row r="4855" spans="1:13" x14ac:dyDescent="0.25">
      <c r="A4855" t="s">
        <v>7787</v>
      </c>
      <c r="B4855">
        <v>493278</v>
      </c>
      <c r="C4855">
        <v>5896286</v>
      </c>
      <c r="D4855">
        <v>21</v>
      </c>
      <c r="E4855" t="s">
        <v>15</v>
      </c>
      <c r="F4855" t="s">
        <v>11338</v>
      </c>
      <c r="G4855">
        <v>5</v>
      </c>
      <c r="H4855" t="s">
        <v>4058</v>
      </c>
      <c r="I4855" t="s">
        <v>41</v>
      </c>
      <c r="J4855" t="s">
        <v>2247</v>
      </c>
      <c r="K4855" t="s">
        <v>56</v>
      </c>
      <c r="L4855" t="s">
        <v>11335</v>
      </c>
      <c r="M4855" s="3" t="str">
        <f>HYPERLINK("..\..\Imagery\ScannedPhotos\1984\VN84-189.4.jpg")</f>
        <v>..\..\Imagery\ScannedPhotos\1984\VN84-189.4.jpg</v>
      </c>
    </row>
    <row r="4856" spans="1:13" x14ac:dyDescent="0.25">
      <c r="A4856" t="s">
        <v>6493</v>
      </c>
      <c r="B4856">
        <v>439811</v>
      </c>
      <c r="C4856">
        <v>6085467</v>
      </c>
      <c r="D4856">
        <v>21</v>
      </c>
      <c r="E4856" t="s">
        <v>15</v>
      </c>
      <c r="F4856" t="s">
        <v>11339</v>
      </c>
      <c r="G4856">
        <v>2</v>
      </c>
      <c r="H4856" t="s">
        <v>696</v>
      </c>
      <c r="I4856" t="s">
        <v>35</v>
      </c>
      <c r="J4856" t="s">
        <v>355</v>
      </c>
      <c r="K4856" t="s">
        <v>20</v>
      </c>
      <c r="L4856" t="s">
        <v>6495</v>
      </c>
      <c r="M4856" s="3" t="str">
        <f>HYPERLINK("..\..\Imagery\ScannedPhotos\1979\CG79-225.1.jpg")</f>
        <v>..\..\Imagery\ScannedPhotos\1979\CG79-225.1.jpg</v>
      </c>
    </row>
    <row r="4857" spans="1:13" x14ac:dyDescent="0.25">
      <c r="A4857" t="s">
        <v>11340</v>
      </c>
      <c r="B4857">
        <v>449977</v>
      </c>
      <c r="C4857">
        <v>5898041</v>
      </c>
      <c r="D4857">
        <v>21</v>
      </c>
      <c r="E4857" t="s">
        <v>15</v>
      </c>
      <c r="F4857" t="s">
        <v>11341</v>
      </c>
      <c r="G4857">
        <v>1</v>
      </c>
      <c r="H4857" t="s">
        <v>6176</v>
      </c>
      <c r="I4857" t="s">
        <v>69</v>
      </c>
      <c r="J4857" t="s">
        <v>2247</v>
      </c>
      <c r="K4857" t="s">
        <v>56</v>
      </c>
      <c r="L4857" t="s">
        <v>11342</v>
      </c>
      <c r="M4857" s="3" t="str">
        <f>HYPERLINK("..\..\Imagery\ScannedPhotos\1984\NN84-231.jpg")</f>
        <v>..\..\Imagery\ScannedPhotos\1984\NN84-231.jpg</v>
      </c>
    </row>
    <row r="4858" spans="1:13" x14ac:dyDescent="0.25">
      <c r="A4858" t="s">
        <v>11343</v>
      </c>
      <c r="B4858">
        <v>450516</v>
      </c>
      <c r="C4858">
        <v>5899064</v>
      </c>
      <c r="D4858">
        <v>21</v>
      </c>
      <c r="E4858" t="s">
        <v>15</v>
      </c>
      <c r="F4858" t="s">
        <v>11344</v>
      </c>
      <c r="G4858">
        <v>3</v>
      </c>
      <c r="H4858" t="s">
        <v>6176</v>
      </c>
      <c r="I4858" t="s">
        <v>74</v>
      </c>
      <c r="J4858" t="s">
        <v>2247</v>
      </c>
      <c r="K4858" t="s">
        <v>20</v>
      </c>
      <c r="L4858" t="s">
        <v>11345</v>
      </c>
      <c r="M4858" s="3" t="str">
        <f>HYPERLINK("..\..\Imagery\ScannedPhotos\1984\NN84-234.1.jpg")</f>
        <v>..\..\Imagery\ScannedPhotos\1984\NN84-234.1.jpg</v>
      </c>
    </row>
    <row r="4859" spans="1:13" x14ac:dyDescent="0.25">
      <c r="A4859" t="s">
        <v>11343</v>
      </c>
      <c r="B4859">
        <v>450516</v>
      </c>
      <c r="C4859">
        <v>5899064</v>
      </c>
      <c r="D4859">
        <v>21</v>
      </c>
      <c r="E4859" t="s">
        <v>15</v>
      </c>
      <c r="F4859" t="s">
        <v>11346</v>
      </c>
      <c r="G4859">
        <v>3</v>
      </c>
      <c r="H4859" t="s">
        <v>6176</v>
      </c>
      <c r="I4859" t="s">
        <v>41</v>
      </c>
      <c r="J4859" t="s">
        <v>2247</v>
      </c>
      <c r="K4859" t="s">
        <v>20</v>
      </c>
      <c r="L4859" t="s">
        <v>11347</v>
      </c>
      <c r="M4859" s="3" t="str">
        <f>HYPERLINK("..\..\Imagery\ScannedPhotos\1984\NN84-234.2.jpg")</f>
        <v>..\..\Imagery\ScannedPhotos\1984\NN84-234.2.jpg</v>
      </c>
    </row>
    <row r="4860" spans="1:13" x14ac:dyDescent="0.25">
      <c r="A4860" t="s">
        <v>11343</v>
      </c>
      <c r="B4860">
        <v>450516</v>
      </c>
      <c r="C4860">
        <v>5899064</v>
      </c>
      <c r="D4860">
        <v>21</v>
      </c>
      <c r="E4860" t="s">
        <v>15</v>
      </c>
      <c r="F4860" t="s">
        <v>11348</v>
      </c>
      <c r="G4860">
        <v>3</v>
      </c>
      <c r="H4860" t="s">
        <v>6176</v>
      </c>
      <c r="I4860" t="s">
        <v>85</v>
      </c>
      <c r="J4860" t="s">
        <v>2247</v>
      </c>
      <c r="K4860" t="s">
        <v>20</v>
      </c>
      <c r="L4860" t="s">
        <v>11349</v>
      </c>
      <c r="M4860" s="3" t="str">
        <f>HYPERLINK("..\..\Imagery\ScannedPhotos\1984\NN84-234.3.jpg")</f>
        <v>..\..\Imagery\ScannedPhotos\1984\NN84-234.3.jpg</v>
      </c>
    </row>
    <row r="4861" spans="1:13" x14ac:dyDescent="0.25">
      <c r="A4861" t="s">
        <v>3548</v>
      </c>
      <c r="B4861">
        <v>472050</v>
      </c>
      <c r="C4861">
        <v>5859375</v>
      </c>
      <c r="D4861">
        <v>21</v>
      </c>
      <c r="E4861" t="s">
        <v>15</v>
      </c>
      <c r="F4861" t="s">
        <v>11350</v>
      </c>
      <c r="G4861">
        <v>19</v>
      </c>
      <c r="H4861" t="s">
        <v>2719</v>
      </c>
      <c r="I4861" t="s">
        <v>94</v>
      </c>
      <c r="J4861" t="s">
        <v>891</v>
      </c>
      <c r="K4861" t="s">
        <v>20</v>
      </c>
      <c r="L4861" t="s">
        <v>7321</v>
      </c>
      <c r="M4861" s="3" t="str">
        <f>HYPERLINK("..\..\Imagery\ScannedPhotos\1991\VN91-264.5.jpg")</f>
        <v>..\..\Imagery\ScannedPhotos\1991\VN91-264.5.jpg</v>
      </c>
    </row>
    <row r="4862" spans="1:13" x14ac:dyDescent="0.25">
      <c r="A4862" t="s">
        <v>3548</v>
      </c>
      <c r="B4862">
        <v>472050</v>
      </c>
      <c r="C4862">
        <v>5859375</v>
      </c>
      <c r="D4862">
        <v>21</v>
      </c>
      <c r="E4862" t="s">
        <v>15</v>
      </c>
      <c r="F4862" t="s">
        <v>11351</v>
      </c>
      <c r="G4862">
        <v>19</v>
      </c>
      <c r="H4862" t="s">
        <v>2719</v>
      </c>
      <c r="I4862" t="s">
        <v>375</v>
      </c>
      <c r="J4862" t="s">
        <v>891</v>
      </c>
      <c r="K4862" t="s">
        <v>20</v>
      </c>
      <c r="L4862" t="s">
        <v>7321</v>
      </c>
      <c r="M4862" s="3" t="str">
        <f>HYPERLINK("..\..\Imagery\ScannedPhotos\1991\VN91-264.4.jpg")</f>
        <v>..\..\Imagery\ScannedPhotos\1991\VN91-264.4.jpg</v>
      </c>
    </row>
    <row r="4863" spans="1:13" x14ac:dyDescent="0.25">
      <c r="A4863" t="s">
        <v>3548</v>
      </c>
      <c r="B4863">
        <v>472050</v>
      </c>
      <c r="C4863">
        <v>5859375</v>
      </c>
      <c r="D4863">
        <v>21</v>
      </c>
      <c r="E4863" t="s">
        <v>15</v>
      </c>
      <c r="F4863" t="s">
        <v>11352</v>
      </c>
      <c r="G4863">
        <v>19</v>
      </c>
      <c r="H4863" t="s">
        <v>2719</v>
      </c>
      <c r="I4863" t="s">
        <v>214</v>
      </c>
      <c r="J4863" t="s">
        <v>891</v>
      </c>
      <c r="K4863" t="s">
        <v>56</v>
      </c>
      <c r="L4863" t="s">
        <v>11353</v>
      </c>
      <c r="M4863" s="3" t="str">
        <f>HYPERLINK("..\..\Imagery\ScannedPhotos\1991\VN91-264.9.jpg")</f>
        <v>..\..\Imagery\ScannedPhotos\1991\VN91-264.9.jpg</v>
      </c>
    </row>
    <row r="4864" spans="1:13" x14ac:dyDescent="0.25">
      <c r="A4864" t="s">
        <v>11354</v>
      </c>
      <c r="B4864">
        <v>477010</v>
      </c>
      <c r="C4864">
        <v>5991889</v>
      </c>
      <c r="D4864">
        <v>21</v>
      </c>
      <c r="E4864" t="s">
        <v>15</v>
      </c>
      <c r="F4864" t="s">
        <v>11355</v>
      </c>
      <c r="G4864">
        <v>1</v>
      </c>
      <c r="H4864" t="s">
        <v>806</v>
      </c>
      <c r="I4864" t="s">
        <v>30</v>
      </c>
      <c r="J4864" t="s">
        <v>807</v>
      </c>
      <c r="K4864" t="s">
        <v>20</v>
      </c>
      <c r="L4864" t="s">
        <v>11017</v>
      </c>
      <c r="M4864" s="3" t="str">
        <f>HYPERLINK("..\..\Imagery\ScannedPhotos\1980\CG80-641.jpg")</f>
        <v>..\..\Imagery\ScannedPhotos\1980\CG80-641.jpg</v>
      </c>
    </row>
    <row r="4865" spans="1:13" x14ac:dyDescent="0.25">
      <c r="A4865" t="s">
        <v>11356</v>
      </c>
      <c r="B4865">
        <v>379603</v>
      </c>
      <c r="C4865">
        <v>6006252</v>
      </c>
      <c r="D4865">
        <v>21</v>
      </c>
      <c r="E4865" t="s">
        <v>15</v>
      </c>
      <c r="F4865" t="s">
        <v>11357</v>
      </c>
      <c r="G4865">
        <v>4</v>
      </c>
      <c r="H4865" t="s">
        <v>806</v>
      </c>
      <c r="I4865" t="s">
        <v>126</v>
      </c>
      <c r="J4865" t="s">
        <v>807</v>
      </c>
      <c r="K4865" t="s">
        <v>20</v>
      </c>
      <c r="L4865" t="s">
        <v>11358</v>
      </c>
      <c r="M4865" s="3" t="str">
        <f>HYPERLINK("..\..\Imagery\ScannedPhotos\1980\CG80-685.4.jpg")</f>
        <v>..\..\Imagery\ScannedPhotos\1980\CG80-685.4.jpg</v>
      </c>
    </row>
    <row r="4866" spans="1:13" x14ac:dyDescent="0.25">
      <c r="A4866" t="s">
        <v>11356</v>
      </c>
      <c r="B4866">
        <v>379603</v>
      </c>
      <c r="C4866">
        <v>6006252</v>
      </c>
      <c r="D4866">
        <v>21</v>
      </c>
      <c r="E4866" t="s">
        <v>15</v>
      </c>
      <c r="F4866" t="s">
        <v>11359</v>
      </c>
      <c r="G4866">
        <v>4</v>
      </c>
      <c r="H4866" t="s">
        <v>806</v>
      </c>
      <c r="I4866" t="s">
        <v>122</v>
      </c>
      <c r="J4866" t="s">
        <v>807</v>
      </c>
      <c r="K4866" t="s">
        <v>20</v>
      </c>
      <c r="L4866" t="s">
        <v>11358</v>
      </c>
      <c r="M4866" s="3" t="str">
        <f>HYPERLINK("..\..\Imagery\ScannedPhotos\1980\CG80-685.3.jpg")</f>
        <v>..\..\Imagery\ScannedPhotos\1980\CG80-685.3.jpg</v>
      </c>
    </row>
    <row r="4867" spans="1:13" x14ac:dyDescent="0.25">
      <c r="A4867" t="s">
        <v>9386</v>
      </c>
      <c r="B4867">
        <v>473034</v>
      </c>
      <c r="C4867">
        <v>6007960</v>
      </c>
      <c r="D4867">
        <v>21</v>
      </c>
      <c r="E4867" t="s">
        <v>15</v>
      </c>
      <c r="F4867" t="s">
        <v>11360</v>
      </c>
      <c r="G4867">
        <v>4</v>
      </c>
      <c r="H4867" t="s">
        <v>806</v>
      </c>
      <c r="I4867" t="s">
        <v>129</v>
      </c>
      <c r="J4867" t="s">
        <v>807</v>
      </c>
      <c r="K4867" t="s">
        <v>20</v>
      </c>
      <c r="L4867" t="s">
        <v>9388</v>
      </c>
      <c r="M4867" s="3" t="str">
        <f>HYPERLINK("..\..\Imagery\ScannedPhotos\1980\CG80-694.2.jpg")</f>
        <v>..\..\Imagery\ScannedPhotos\1980\CG80-694.2.jpg</v>
      </c>
    </row>
    <row r="4868" spans="1:13" x14ac:dyDescent="0.25">
      <c r="A4868" t="s">
        <v>11361</v>
      </c>
      <c r="B4868">
        <v>483932</v>
      </c>
      <c r="C4868">
        <v>5927108</v>
      </c>
      <c r="D4868">
        <v>21</v>
      </c>
      <c r="E4868" t="s">
        <v>15</v>
      </c>
      <c r="F4868" t="s">
        <v>11362</v>
      </c>
      <c r="G4868">
        <v>1</v>
      </c>
      <c r="H4868" t="s">
        <v>2995</v>
      </c>
      <c r="I4868" t="s">
        <v>126</v>
      </c>
      <c r="J4868" t="s">
        <v>156</v>
      </c>
      <c r="K4868" t="s">
        <v>56</v>
      </c>
      <c r="L4868" t="s">
        <v>11363</v>
      </c>
      <c r="M4868" s="3" t="str">
        <f>HYPERLINK("..\..\Imagery\ScannedPhotos\1984\VN84-054.jpg")</f>
        <v>..\..\Imagery\ScannedPhotos\1984\VN84-054.jpg</v>
      </c>
    </row>
    <row r="4869" spans="1:13" x14ac:dyDescent="0.25">
      <c r="A4869" t="s">
        <v>11364</v>
      </c>
      <c r="B4869">
        <v>495933</v>
      </c>
      <c r="C4869">
        <v>5907604</v>
      </c>
      <c r="D4869">
        <v>21</v>
      </c>
      <c r="E4869" t="s">
        <v>15</v>
      </c>
      <c r="F4869" t="s">
        <v>11365</v>
      </c>
      <c r="G4869">
        <v>1</v>
      </c>
      <c r="H4869" t="s">
        <v>2912</v>
      </c>
      <c r="I4869" t="s">
        <v>294</v>
      </c>
      <c r="J4869" t="s">
        <v>2913</v>
      </c>
      <c r="K4869" t="s">
        <v>56</v>
      </c>
      <c r="L4869" t="s">
        <v>3229</v>
      </c>
      <c r="M4869" s="3" t="str">
        <f>HYPERLINK("..\..\Imagery\ScannedPhotos\1984\VN84-109.jpg")</f>
        <v>..\..\Imagery\ScannedPhotos\1984\VN84-109.jpg</v>
      </c>
    </row>
    <row r="4870" spans="1:13" x14ac:dyDescent="0.25">
      <c r="A4870" t="s">
        <v>11366</v>
      </c>
      <c r="B4870">
        <v>497489</v>
      </c>
      <c r="C4870">
        <v>5914972</v>
      </c>
      <c r="D4870">
        <v>21</v>
      </c>
      <c r="E4870" t="s">
        <v>15</v>
      </c>
      <c r="F4870" t="s">
        <v>11367</v>
      </c>
      <c r="G4870">
        <v>1</v>
      </c>
      <c r="H4870" t="s">
        <v>2912</v>
      </c>
      <c r="I4870" t="s">
        <v>137</v>
      </c>
      <c r="J4870" t="s">
        <v>2913</v>
      </c>
      <c r="K4870" t="s">
        <v>20</v>
      </c>
      <c r="L4870" t="s">
        <v>1020</v>
      </c>
      <c r="M4870" s="3" t="str">
        <f>HYPERLINK("..\..\Imagery\ScannedPhotos\1984\VN84-137.jpg")</f>
        <v>..\..\Imagery\ScannedPhotos\1984\VN84-137.jpg</v>
      </c>
    </row>
    <row r="4871" spans="1:13" x14ac:dyDescent="0.25">
      <c r="A4871" t="s">
        <v>11368</v>
      </c>
      <c r="B4871">
        <v>402875</v>
      </c>
      <c r="C4871">
        <v>5926838</v>
      </c>
      <c r="D4871">
        <v>21</v>
      </c>
      <c r="E4871" t="s">
        <v>15</v>
      </c>
      <c r="F4871" t="s">
        <v>11369</v>
      </c>
      <c r="G4871">
        <v>1</v>
      </c>
      <c r="H4871" t="s">
        <v>754</v>
      </c>
      <c r="I4871" t="s">
        <v>65</v>
      </c>
      <c r="J4871" t="s">
        <v>563</v>
      </c>
      <c r="K4871" t="s">
        <v>20</v>
      </c>
      <c r="L4871" t="s">
        <v>11370</v>
      </c>
      <c r="M4871" s="3" t="str">
        <f>HYPERLINK("..\..\Imagery\ScannedPhotos\1995\CG95-111.jpg")</f>
        <v>..\..\Imagery\ScannedPhotos\1995\CG95-111.jpg</v>
      </c>
    </row>
    <row r="4872" spans="1:13" x14ac:dyDescent="0.25">
      <c r="A4872" t="s">
        <v>11371</v>
      </c>
      <c r="B4872">
        <v>516483</v>
      </c>
      <c r="C4872">
        <v>5895068</v>
      </c>
      <c r="D4872">
        <v>21</v>
      </c>
      <c r="E4872" t="s">
        <v>15</v>
      </c>
      <c r="F4872" t="s">
        <v>11372</v>
      </c>
      <c r="G4872">
        <v>3</v>
      </c>
      <c r="H4872" t="s">
        <v>2084</v>
      </c>
      <c r="I4872" t="s">
        <v>69</v>
      </c>
      <c r="J4872" t="s">
        <v>1014</v>
      </c>
      <c r="K4872" t="s">
        <v>228</v>
      </c>
      <c r="L4872" t="s">
        <v>11373</v>
      </c>
      <c r="M4872" s="3" t="str">
        <f>HYPERLINK("..\..\Imagery\ScannedPhotos\1985\CG85-148.1.jpg")</f>
        <v>..\..\Imagery\ScannedPhotos\1985\CG85-148.1.jpg</v>
      </c>
    </row>
    <row r="4873" spans="1:13" x14ac:dyDescent="0.25">
      <c r="A4873" t="s">
        <v>11371</v>
      </c>
      <c r="B4873">
        <v>516483</v>
      </c>
      <c r="C4873">
        <v>5895068</v>
      </c>
      <c r="D4873">
        <v>21</v>
      </c>
      <c r="E4873" t="s">
        <v>15</v>
      </c>
      <c r="F4873" t="s">
        <v>11374</v>
      </c>
      <c r="G4873">
        <v>3</v>
      </c>
      <c r="H4873" t="s">
        <v>2084</v>
      </c>
      <c r="I4873" t="s">
        <v>74</v>
      </c>
      <c r="J4873" t="s">
        <v>1014</v>
      </c>
      <c r="K4873" t="s">
        <v>20</v>
      </c>
      <c r="L4873" t="s">
        <v>2996</v>
      </c>
      <c r="M4873" s="3" t="str">
        <f>HYPERLINK("..\..\Imagery\ScannedPhotos\1985\CG85-148.2.jpg")</f>
        <v>..\..\Imagery\ScannedPhotos\1985\CG85-148.2.jpg</v>
      </c>
    </row>
    <row r="4874" spans="1:13" x14ac:dyDescent="0.25">
      <c r="A4874" t="s">
        <v>11371</v>
      </c>
      <c r="B4874">
        <v>516483</v>
      </c>
      <c r="C4874">
        <v>5895068</v>
      </c>
      <c r="D4874">
        <v>21</v>
      </c>
      <c r="E4874" t="s">
        <v>15</v>
      </c>
      <c r="F4874" t="s">
        <v>11375</v>
      </c>
      <c r="G4874">
        <v>3</v>
      </c>
      <c r="H4874" t="s">
        <v>2084</v>
      </c>
      <c r="I4874" t="s">
        <v>41</v>
      </c>
      <c r="J4874" t="s">
        <v>1014</v>
      </c>
      <c r="K4874" t="s">
        <v>20</v>
      </c>
      <c r="L4874" t="s">
        <v>2996</v>
      </c>
      <c r="M4874" s="3" t="str">
        <f>HYPERLINK("..\..\Imagery\ScannedPhotos\1985\CG85-148.3.jpg")</f>
        <v>..\..\Imagery\ScannedPhotos\1985\CG85-148.3.jpg</v>
      </c>
    </row>
    <row r="4875" spans="1:13" x14ac:dyDescent="0.25">
      <c r="A4875" t="s">
        <v>11376</v>
      </c>
      <c r="B4875">
        <v>546900</v>
      </c>
      <c r="C4875">
        <v>5735940</v>
      </c>
      <c r="D4875">
        <v>21</v>
      </c>
      <c r="E4875" t="s">
        <v>15</v>
      </c>
      <c r="F4875" t="s">
        <v>11377</v>
      </c>
      <c r="G4875">
        <v>2</v>
      </c>
      <c r="H4875" t="s">
        <v>1076</v>
      </c>
      <c r="I4875" t="s">
        <v>129</v>
      </c>
      <c r="J4875" t="s">
        <v>570</v>
      </c>
      <c r="K4875" t="s">
        <v>20</v>
      </c>
      <c r="L4875" t="s">
        <v>11378</v>
      </c>
      <c r="M4875" s="3" t="str">
        <f>HYPERLINK("..\..\Imagery\ScannedPhotos\1993\CG93-299.1.jpg")</f>
        <v>..\..\Imagery\ScannedPhotos\1993\CG93-299.1.jpg</v>
      </c>
    </row>
    <row r="4876" spans="1:13" x14ac:dyDescent="0.25">
      <c r="A4876" t="s">
        <v>11376</v>
      </c>
      <c r="B4876">
        <v>546900</v>
      </c>
      <c r="C4876">
        <v>5735940</v>
      </c>
      <c r="D4876">
        <v>21</v>
      </c>
      <c r="E4876" t="s">
        <v>15</v>
      </c>
      <c r="F4876" t="s">
        <v>11379</v>
      </c>
      <c r="G4876">
        <v>2</v>
      </c>
      <c r="H4876" t="s">
        <v>1076</v>
      </c>
      <c r="I4876" t="s">
        <v>143</v>
      </c>
      <c r="J4876" t="s">
        <v>570</v>
      </c>
      <c r="K4876" t="s">
        <v>20</v>
      </c>
      <c r="L4876" t="s">
        <v>6906</v>
      </c>
      <c r="M4876" s="3" t="str">
        <f>HYPERLINK("..\..\Imagery\ScannedPhotos\1993\CG93-299.2.jpg")</f>
        <v>..\..\Imagery\ScannedPhotos\1993\CG93-299.2.jpg</v>
      </c>
    </row>
    <row r="4877" spans="1:13" x14ac:dyDescent="0.25">
      <c r="A4877" t="s">
        <v>11380</v>
      </c>
      <c r="B4877">
        <v>547376</v>
      </c>
      <c r="C4877">
        <v>5735952</v>
      </c>
      <c r="D4877">
        <v>21</v>
      </c>
      <c r="E4877" t="s">
        <v>15</v>
      </c>
      <c r="F4877" t="s">
        <v>11381</v>
      </c>
      <c r="G4877">
        <v>4</v>
      </c>
      <c r="H4877" t="s">
        <v>1076</v>
      </c>
      <c r="I4877" t="s">
        <v>47</v>
      </c>
      <c r="J4877" t="s">
        <v>570</v>
      </c>
      <c r="K4877" t="s">
        <v>56</v>
      </c>
      <c r="L4877" t="s">
        <v>11382</v>
      </c>
      <c r="M4877" s="3" t="str">
        <f>HYPERLINK("..\..\Imagery\ScannedPhotos\1993\CG93-300.2.jpg")</f>
        <v>..\..\Imagery\ScannedPhotos\1993\CG93-300.2.jpg</v>
      </c>
    </row>
    <row r="4878" spans="1:13" x14ac:dyDescent="0.25">
      <c r="A4878" t="s">
        <v>11380</v>
      </c>
      <c r="B4878">
        <v>547376</v>
      </c>
      <c r="C4878">
        <v>5735952</v>
      </c>
      <c r="D4878">
        <v>21</v>
      </c>
      <c r="E4878" t="s">
        <v>15</v>
      </c>
      <c r="F4878" t="s">
        <v>11383</v>
      </c>
      <c r="G4878">
        <v>4</v>
      </c>
      <c r="H4878" t="s">
        <v>1076</v>
      </c>
      <c r="I4878" t="s">
        <v>52</v>
      </c>
      <c r="J4878" t="s">
        <v>570</v>
      </c>
      <c r="K4878" t="s">
        <v>56</v>
      </c>
      <c r="L4878" t="s">
        <v>11382</v>
      </c>
      <c r="M4878" s="3" t="str">
        <f>HYPERLINK("..\..\Imagery\ScannedPhotos\1993\CG93-300.3.jpg")</f>
        <v>..\..\Imagery\ScannedPhotos\1993\CG93-300.3.jpg</v>
      </c>
    </row>
    <row r="4879" spans="1:13" x14ac:dyDescent="0.25">
      <c r="A4879" t="s">
        <v>11384</v>
      </c>
      <c r="B4879">
        <v>547467</v>
      </c>
      <c r="C4879">
        <v>5735954</v>
      </c>
      <c r="D4879">
        <v>21</v>
      </c>
      <c r="E4879" t="s">
        <v>15</v>
      </c>
      <c r="F4879" t="s">
        <v>11385</v>
      </c>
      <c r="G4879">
        <v>1</v>
      </c>
      <c r="H4879" t="s">
        <v>1076</v>
      </c>
      <c r="I4879" t="s">
        <v>401</v>
      </c>
      <c r="J4879" t="s">
        <v>570</v>
      </c>
      <c r="K4879" t="s">
        <v>56</v>
      </c>
      <c r="L4879" t="s">
        <v>11386</v>
      </c>
      <c r="M4879" s="3" t="str">
        <f>HYPERLINK("..\..\Imagery\ScannedPhotos\1993\CG93-301.jpg")</f>
        <v>..\..\Imagery\ScannedPhotos\1993\CG93-301.jpg</v>
      </c>
    </row>
    <row r="4880" spans="1:13" x14ac:dyDescent="0.25">
      <c r="A4880" t="s">
        <v>11387</v>
      </c>
      <c r="B4880">
        <v>548790</v>
      </c>
      <c r="C4880">
        <v>5735510</v>
      </c>
      <c r="D4880">
        <v>21</v>
      </c>
      <c r="E4880" t="s">
        <v>15</v>
      </c>
      <c r="F4880" t="s">
        <v>11388</v>
      </c>
      <c r="G4880">
        <v>1</v>
      </c>
      <c r="H4880" t="s">
        <v>7220</v>
      </c>
      <c r="I4880" t="s">
        <v>79</v>
      </c>
      <c r="J4880" t="s">
        <v>1738</v>
      </c>
      <c r="K4880" t="s">
        <v>20</v>
      </c>
      <c r="L4880" t="s">
        <v>11389</v>
      </c>
      <c r="M4880" s="3" t="str">
        <f>HYPERLINK("..\..\Imagery\ScannedPhotos\1993\CG93-304.jpg")</f>
        <v>..\..\Imagery\ScannedPhotos\1993\CG93-304.jpg</v>
      </c>
    </row>
    <row r="4881" spans="1:13" x14ac:dyDescent="0.25">
      <c r="A4881" t="s">
        <v>11390</v>
      </c>
      <c r="B4881">
        <v>549135</v>
      </c>
      <c r="C4881">
        <v>5735521</v>
      </c>
      <c r="D4881">
        <v>21</v>
      </c>
      <c r="E4881" t="s">
        <v>15</v>
      </c>
      <c r="F4881" t="s">
        <v>11391</v>
      </c>
      <c r="G4881">
        <v>1</v>
      </c>
      <c r="H4881" t="s">
        <v>7220</v>
      </c>
      <c r="I4881" t="s">
        <v>281</v>
      </c>
      <c r="J4881" t="s">
        <v>1738</v>
      </c>
      <c r="K4881" t="s">
        <v>20</v>
      </c>
      <c r="L4881" t="s">
        <v>2415</v>
      </c>
      <c r="M4881" s="3" t="str">
        <f>HYPERLINK("..\..\Imagery\ScannedPhotos\1993\CG93-305.jpg")</f>
        <v>..\..\Imagery\ScannedPhotos\1993\CG93-305.jpg</v>
      </c>
    </row>
    <row r="4882" spans="1:13" x14ac:dyDescent="0.25">
      <c r="A4882" t="s">
        <v>10280</v>
      </c>
      <c r="B4882">
        <v>549322</v>
      </c>
      <c r="C4882">
        <v>5735846</v>
      </c>
      <c r="D4882">
        <v>21</v>
      </c>
      <c r="E4882" t="s">
        <v>15</v>
      </c>
      <c r="F4882" t="s">
        <v>11392</v>
      </c>
      <c r="G4882">
        <v>4</v>
      </c>
      <c r="H4882" t="s">
        <v>7220</v>
      </c>
      <c r="I4882" t="s">
        <v>137</v>
      </c>
      <c r="J4882" t="s">
        <v>1738</v>
      </c>
      <c r="K4882" t="s">
        <v>56</v>
      </c>
      <c r="L4882" t="s">
        <v>2415</v>
      </c>
      <c r="M4882" s="3" t="str">
        <f>HYPERLINK("..\..\Imagery\ScannedPhotos\1993\CG93-306.1.jpg")</f>
        <v>..\..\Imagery\ScannedPhotos\1993\CG93-306.1.jpg</v>
      </c>
    </row>
    <row r="4883" spans="1:13" x14ac:dyDescent="0.25">
      <c r="A4883" t="s">
        <v>11393</v>
      </c>
      <c r="B4883">
        <v>494858</v>
      </c>
      <c r="C4883">
        <v>5819830</v>
      </c>
      <c r="D4883">
        <v>21</v>
      </c>
      <c r="E4883" t="s">
        <v>15</v>
      </c>
      <c r="F4883" t="s">
        <v>11394</v>
      </c>
      <c r="G4883">
        <v>2</v>
      </c>
      <c r="H4883" t="s">
        <v>2719</v>
      </c>
      <c r="I4883" t="s">
        <v>108</v>
      </c>
      <c r="J4883" t="s">
        <v>891</v>
      </c>
      <c r="K4883" t="s">
        <v>56</v>
      </c>
      <c r="L4883" t="s">
        <v>11395</v>
      </c>
      <c r="M4883" s="3" t="str">
        <f>HYPERLINK("..\..\Imagery\ScannedPhotos\1991\VN91-266.2.jpg")</f>
        <v>..\..\Imagery\ScannedPhotos\1991\VN91-266.2.jpg</v>
      </c>
    </row>
    <row r="4884" spans="1:13" x14ac:dyDescent="0.25">
      <c r="A4884" t="s">
        <v>11396</v>
      </c>
      <c r="B4884">
        <v>494258</v>
      </c>
      <c r="C4884">
        <v>5818977</v>
      </c>
      <c r="D4884">
        <v>21</v>
      </c>
      <c r="E4884" t="s">
        <v>15</v>
      </c>
      <c r="F4884" t="s">
        <v>11397</v>
      </c>
      <c r="G4884">
        <v>3</v>
      </c>
      <c r="H4884" t="s">
        <v>2719</v>
      </c>
      <c r="I4884" t="s">
        <v>132</v>
      </c>
      <c r="J4884" t="s">
        <v>891</v>
      </c>
      <c r="K4884" t="s">
        <v>20</v>
      </c>
      <c r="L4884" t="s">
        <v>1020</v>
      </c>
      <c r="M4884" s="3" t="str">
        <f>HYPERLINK("..\..\Imagery\ScannedPhotos\1991\VN91-269.1.jpg")</f>
        <v>..\..\Imagery\ScannedPhotos\1991\VN91-269.1.jpg</v>
      </c>
    </row>
    <row r="4885" spans="1:13" x14ac:dyDescent="0.25">
      <c r="A4885" t="s">
        <v>11396</v>
      </c>
      <c r="B4885">
        <v>494258</v>
      </c>
      <c r="C4885">
        <v>5818977</v>
      </c>
      <c r="D4885">
        <v>21</v>
      </c>
      <c r="E4885" t="s">
        <v>15</v>
      </c>
      <c r="F4885" t="s">
        <v>11398</v>
      </c>
      <c r="G4885">
        <v>3</v>
      </c>
      <c r="H4885" t="s">
        <v>2719</v>
      </c>
      <c r="I4885" t="s">
        <v>129</v>
      </c>
      <c r="J4885" t="s">
        <v>891</v>
      </c>
      <c r="K4885" t="s">
        <v>20</v>
      </c>
      <c r="L4885" t="s">
        <v>11399</v>
      </c>
      <c r="M4885" s="3" t="str">
        <f>HYPERLINK("..\..\Imagery\ScannedPhotos\1991\VN91-269.2.jpg")</f>
        <v>..\..\Imagery\ScannedPhotos\1991\VN91-269.2.jpg</v>
      </c>
    </row>
    <row r="4886" spans="1:13" x14ac:dyDescent="0.25">
      <c r="A4886" t="s">
        <v>11396</v>
      </c>
      <c r="B4886">
        <v>494258</v>
      </c>
      <c r="C4886">
        <v>5818977</v>
      </c>
      <c r="D4886">
        <v>21</v>
      </c>
      <c r="E4886" t="s">
        <v>15</v>
      </c>
      <c r="F4886" t="s">
        <v>11400</v>
      </c>
      <c r="G4886">
        <v>3</v>
      </c>
      <c r="H4886" t="s">
        <v>2719</v>
      </c>
      <c r="I4886" t="s">
        <v>143</v>
      </c>
      <c r="J4886" t="s">
        <v>891</v>
      </c>
      <c r="K4886" t="s">
        <v>20</v>
      </c>
      <c r="L4886" t="s">
        <v>11401</v>
      </c>
      <c r="M4886" s="3" t="str">
        <f>HYPERLINK("..\..\Imagery\ScannedPhotos\1991\VN91-269.3.jpg")</f>
        <v>..\..\Imagery\ScannedPhotos\1991\VN91-269.3.jpg</v>
      </c>
    </row>
    <row r="4887" spans="1:13" x14ac:dyDescent="0.25">
      <c r="A4887" t="s">
        <v>7845</v>
      </c>
      <c r="B4887">
        <v>424015</v>
      </c>
      <c r="C4887">
        <v>6010345</v>
      </c>
      <c r="D4887">
        <v>21</v>
      </c>
      <c r="E4887" t="s">
        <v>15</v>
      </c>
      <c r="F4887" t="s">
        <v>11402</v>
      </c>
      <c r="G4887">
        <v>5</v>
      </c>
      <c r="H4887" t="s">
        <v>758</v>
      </c>
      <c r="I4887" t="s">
        <v>74</v>
      </c>
      <c r="J4887" t="s">
        <v>759</v>
      </c>
      <c r="K4887" t="s">
        <v>20</v>
      </c>
      <c r="L4887" t="s">
        <v>7851</v>
      </c>
      <c r="M4887" s="3" t="str">
        <f>HYPERLINK("..\..\Imagery\ScannedPhotos\1980\RG80-049.5.jpg")</f>
        <v>..\..\Imagery\ScannedPhotos\1980\RG80-049.5.jpg</v>
      </c>
    </row>
    <row r="4888" spans="1:13" x14ac:dyDescent="0.25">
      <c r="A4888" t="s">
        <v>11403</v>
      </c>
      <c r="B4888">
        <v>424869</v>
      </c>
      <c r="C4888">
        <v>6010016</v>
      </c>
      <c r="D4888">
        <v>21</v>
      </c>
      <c r="E4888" t="s">
        <v>15</v>
      </c>
      <c r="F4888" t="s">
        <v>11404</v>
      </c>
      <c r="G4888">
        <v>2</v>
      </c>
      <c r="H4888" t="s">
        <v>758</v>
      </c>
      <c r="I4888" t="s">
        <v>41</v>
      </c>
      <c r="J4888" t="s">
        <v>759</v>
      </c>
      <c r="K4888" t="s">
        <v>20</v>
      </c>
      <c r="L4888" t="s">
        <v>11405</v>
      </c>
      <c r="M4888" s="3" t="str">
        <f>HYPERLINK("..\..\Imagery\ScannedPhotos\1980\RG80-052.1.jpg")</f>
        <v>..\..\Imagery\ScannedPhotos\1980\RG80-052.1.jpg</v>
      </c>
    </row>
    <row r="4889" spans="1:13" x14ac:dyDescent="0.25">
      <c r="A4889" t="s">
        <v>11406</v>
      </c>
      <c r="B4889">
        <v>489783</v>
      </c>
      <c r="C4889">
        <v>5806748</v>
      </c>
      <c r="D4889">
        <v>21</v>
      </c>
      <c r="E4889" t="s">
        <v>15</v>
      </c>
      <c r="F4889" t="s">
        <v>11407</v>
      </c>
      <c r="G4889">
        <v>1</v>
      </c>
      <c r="H4889" t="s">
        <v>2344</v>
      </c>
      <c r="I4889" t="s">
        <v>217</v>
      </c>
      <c r="J4889" t="s">
        <v>2341</v>
      </c>
      <c r="K4889" t="s">
        <v>20</v>
      </c>
      <c r="L4889" t="s">
        <v>11408</v>
      </c>
      <c r="M4889" s="3" t="str">
        <f>HYPERLINK("..\..\Imagery\ScannedPhotos\1992\JA92-036.jpg")</f>
        <v>..\..\Imagery\ScannedPhotos\1992\JA92-036.jpg</v>
      </c>
    </row>
    <row r="4890" spans="1:13" x14ac:dyDescent="0.25">
      <c r="A4890" t="s">
        <v>11409</v>
      </c>
      <c r="B4890">
        <v>306495</v>
      </c>
      <c r="C4890">
        <v>5854586</v>
      </c>
      <c r="D4890">
        <v>21</v>
      </c>
      <c r="E4890" t="s">
        <v>15</v>
      </c>
      <c r="F4890" t="s">
        <v>11410</v>
      </c>
      <c r="G4890">
        <v>2</v>
      </c>
      <c r="H4890" t="s">
        <v>5833</v>
      </c>
      <c r="I4890" t="s">
        <v>94</v>
      </c>
      <c r="J4890" t="s">
        <v>260</v>
      </c>
      <c r="K4890" t="s">
        <v>20</v>
      </c>
      <c r="L4890" t="s">
        <v>11411</v>
      </c>
      <c r="M4890" s="3" t="str">
        <f>HYPERLINK("..\..\Imagery\ScannedPhotos\1998\CG98-216.1.jpg")</f>
        <v>..\..\Imagery\ScannedPhotos\1998\CG98-216.1.jpg</v>
      </c>
    </row>
    <row r="4891" spans="1:13" x14ac:dyDescent="0.25">
      <c r="A4891" t="s">
        <v>11409</v>
      </c>
      <c r="B4891">
        <v>306495</v>
      </c>
      <c r="C4891">
        <v>5854586</v>
      </c>
      <c r="D4891">
        <v>21</v>
      </c>
      <c r="E4891" t="s">
        <v>15</v>
      </c>
      <c r="F4891" t="s">
        <v>11412</v>
      </c>
      <c r="G4891">
        <v>2</v>
      </c>
      <c r="H4891" t="s">
        <v>5833</v>
      </c>
      <c r="I4891" t="s">
        <v>209</v>
      </c>
      <c r="J4891" t="s">
        <v>260</v>
      </c>
      <c r="K4891" t="s">
        <v>56</v>
      </c>
      <c r="L4891" t="s">
        <v>11413</v>
      </c>
      <c r="M4891" s="3" t="str">
        <f>HYPERLINK("..\..\Imagery\ScannedPhotos\1998\CG98-216.2.jpg")</f>
        <v>..\..\Imagery\ScannedPhotos\1998\CG98-216.2.jpg</v>
      </c>
    </row>
    <row r="4892" spans="1:13" x14ac:dyDescent="0.25">
      <c r="A4892" t="s">
        <v>11414</v>
      </c>
      <c r="B4892">
        <v>426597</v>
      </c>
      <c r="C4892">
        <v>5774087</v>
      </c>
      <c r="D4892">
        <v>21</v>
      </c>
      <c r="E4892" t="s">
        <v>15</v>
      </c>
      <c r="F4892" t="s">
        <v>11415</v>
      </c>
      <c r="G4892">
        <v>1</v>
      </c>
      <c r="H4892" t="s">
        <v>738</v>
      </c>
      <c r="I4892" t="s">
        <v>74</v>
      </c>
      <c r="J4892" t="s">
        <v>739</v>
      </c>
      <c r="K4892" t="s">
        <v>56</v>
      </c>
      <c r="L4892" t="s">
        <v>9151</v>
      </c>
      <c r="M4892" s="3" t="str">
        <f>HYPERLINK("..\..\Imagery\ScannedPhotos\1999\CG99-027.jpg")</f>
        <v>..\..\Imagery\ScannedPhotos\1999\CG99-027.jpg</v>
      </c>
    </row>
    <row r="4893" spans="1:13" x14ac:dyDescent="0.25">
      <c r="A4893" t="s">
        <v>11416</v>
      </c>
      <c r="B4893">
        <v>427957</v>
      </c>
      <c r="C4893">
        <v>5776773</v>
      </c>
      <c r="D4893">
        <v>21</v>
      </c>
      <c r="E4893" t="s">
        <v>15</v>
      </c>
      <c r="F4893" t="s">
        <v>11417</v>
      </c>
      <c r="G4893">
        <v>1</v>
      </c>
      <c r="H4893" t="s">
        <v>738</v>
      </c>
      <c r="I4893" t="s">
        <v>41</v>
      </c>
      <c r="J4893" t="s">
        <v>739</v>
      </c>
      <c r="K4893" t="s">
        <v>935</v>
      </c>
      <c r="L4893" t="s">
        <v>11418</v>
      </c>
      <c r="M4893" s="3" t="str">
        <f>HYPERLINK("..\..\Imagery\ScannedPhotos\1999\CG99-028.jpg")</f>
        <v>..\..\Imagery\ScannedPhotos\1999\CG99-028.jpg</v>
      </c>
    </row>
    <row r="4894" spans="1:13" x14ac:dyDescent="0.25">
      <c r="A4894" t="s">
        <v>6328</v>
      </c>
      <c r="B4894">
        <v>496360</v>
      </c>
      <c r="C4894">
        <v>5722702</v>
      </c>
      <c r="D4894">
        <v>21</v>
      </c>
      <c r="E4894" t="s">
        <v>15</v>
      </c>
      <c r="F4894" t="s">
        <v>11419</v>
      </c>
      <c r="G4894">
        <v>4</v>
      </c>
      <c r="H4894" t="s">
        <v>6322</v>
      </c>
      <c r="I4894" t="s">
        <v>222</v>
      </c>
      <c r="J4894" t="s">
        <v>996</v>
      </c>
      <c r="K4894" t="s">
        <v>56</v>
      </c>
      <c r="L4894" t="s">
        <v>11420</v>
      </c>
      <c r="M4894" s="3" t="str">
        <f>HYPERLINK("..\..\Imagery\ScannedPhotos\1993\VN93-384.1.jpg")</f>
        <v>..\..\Imagery\ScannedPhotos\1993\VN93-384.1.jpg</v>
      </c>
    </row>
    <row r="4895" spans="1:13" x14ac:dyDescent="0.25">
      <c r="A4895" t="s">
        <v>6328</v>
      </c>
      <c r="B4895">
        <v>496360</v>
      </c>
      <c r="C4895">
        <v>5722702</v>
      </c>
      <c r="D4895">
        <v>21</v>
      </c>
      <c r="E4895" t="s">
        <v>15</v>
      </c>
      <c r="F4895" t="s">
        <v>11421</v>
      </c>
      <c r="G4895">
        <v>4</v>
      </c>
      <c r="H4895" t="s">
        <v>6322</v>
      </c>
      <c r="I4895" t="s">
        <v>304</v>
      </c>
      <c r="J4895" t="s">
        <v>996</v>
      </c>
      <c r="K4895" t="s">
        <v>20</v>
      </c>
      <c r="L4895" t="s">
        <v>11422</v>
      </c>
      <c r="M4895" s="3" t="str">
        <f>HYPERLINK("..\..\Imagery\ScannedPhotos\1993\VN93-384.3.jpg")</f>
        <v>..\..\Imagery\ScannedPhotos\1993\VN93-384.3.jpg</v>
      </c>
    </row>
    <row r="4896" spans="1:13" x14ac:dyDescent="0.25">
      <c r="A4896" t="s">
        <v>10639</v>
      </c>
      <c r="B4896">
        <v>486932</v>
      </c>
      <c r="C4896">
        <v>5825104</v>
      </c>
      <c r="D4896">
        <v>21</v>
      </c>
      <c r="E4896" t="s">
        <v>15</v>
      </c>
      <c r="F4896" t="s">
        <v>11423</v>
      </c>
      <c r="G4896">
        <v>5</v>
      </c>
      <c r="H4896" t="s">
        <v>2521</v>
      </c>
      <c r="I4896" t="s">
        <v>281</v>
      </c>
      <c r="J4896" t="s">
        <v>2522</v>
      </c>
      <c r="K4896" t="s">
        <v>20</v>
      </c>
      <c r="L4896" t="s">
        <v>11424</v>
      </c>
      <c r="M4896" s="3" t="str">
        <f>HYPERLINK("..\..\Imagery\ScannedPhotos\1991\VN91-372.1.jpg")</f>
        <v>..\..\Imagery\ScannedPhotos\1991\VN91-372.1.jpg</v>
      </c>
    </row>
    <row r="4897" spans="1:13" x14ac:dyDescent="0.25">
      <c r="A4897" t="s">
        <v>11425</v>
      </c>
      <c r="B4897">
        <v>397206</v>
      </c>
      <c r="C4897">
        <v>5993274</v>
      </c>
      <c r="D4897">
        <v>21</v>
      </c>
      <c r="E4897" t="s">
        <v>15</v>
      </c>
      <c r="F4897" t="s">
        <v>11426</v>
      </c>
      <c r="G4897">
        <v>3</v>
      </c>
      <c r="H4897" t="s">
        <v>1593</v>
      </c>
      <c r="I4897" t="s">
        <v>375</v>
      </c>
      <c r="J4897" t="s">
        <v>1594</v>
      </c>
      <c r="K4897" t="s">
        <v>20</v>
      </c>
      <c r="L4897" t="s">
        <v>11427</v>
      </c>
      <c r="M4897" s="3" t="str">
        <f>HYPERLINK("..\..\Imagery\ScannedPhotos\1980\NN80-008.3.jpg")</f>
        <v>..\..\Imagery\ScannedPhotos\1980\NN80-008.3.jpg</v>
      </c>
    </row>
    <row r="4898" spans="1:13" x14ac:dyDescent="0.25">
      <c r="A4898" t="s">
        <v>11428</v>
      </c>
      <c r="B4898">
        <v>523782</v>
      </c>
      <c r="C4898">
        <v>5735253</v>
      </c>
      <c r="D4898">
        <v>21</v>
      </c>
      <c r="E4898" t="s">
        <v>15</v>
      </c>
      <c r="F4898" t="s">
        <v>11429</v>
      </c>
      <c r="G4898">
        <v>2</v>
      </c>
      <c r="H4898" t="s">
        <v>1784</v>
      </c>
      <c r="I4898" t="s">
        <v>30</v>
      </c>
      <c r="J4898" t="s">
        <v>1738</v>
      </c>
      <c r="K4898" t="s">
        <v>56</v>
      </c>
      <c r="L4898" t="s">
        <v>11430</v>
      </c>
      <c r="M4898" s="3" t="str">
        <f>HYPERLINK("..\..\Imagery\ScannedPhotos\1993\VN93-277.1.jpg")</f>
        <v>..\..\Imagery\ScannedPhotos\1993\VN93-277.1.jpg</v>
      </c>
    </row>
    <row r="4899" spans="1:13" x14ac:dyDescent="0.25">
      <c r="A4899" t="s">
        <v>11431</v>
      </c>
      <c r="B4899">
        <v>539536</v>
      </c>
      <c r="C4899">
        <v>5730926</v>
      </c>
      <c r="D4899">
        <v>21</v>
      </c>
      <c r="E4899" t="s">
        <v>15</v>
      </c>
      <c r="F4899" t="s">
        <v>11432</v>
      </c>
      <c r="G4899">
        <v>14</v>
      </c>
      <c r="H4899" t="s">
        <v>3597</v>
      </c>
      <c r="I4899" t="s">
        <v>25</v>
      </c>
      <c r="J4899" t="s">
        <v>3598</v>
      </c>
      <c r="K4899" t="s">
        <v>56</v>
      </c>
      <c r="L4899" t="s">
        <v>3561</v>
      </c>
      <c r="M4899" s="3" t="str">
        <f>HYPERLINK("..\..\Imagery\ScannedPhotos\1993\VN93-033.3.jpg")</f>
        <v>..\..\Imagery\ScannedPhotos\1993\VN93-033.3.jpg</v>
      </c>
    </row>
    <row r="4900" spans="1:13" x14ac:dyDescent="0.25">
      <c r="A4900" t="s">
        <v>11431</v>
      </c>
      <c r="B4900">
        <v>539536</v>
      </c>
      <c r="C4900">
        <v>5730926</v>
      </c>
      <c r="D4900">
        <v>21</v>
      </c>
      <c r="E4900" t="s">
        <v>15</v>
      </c>
      <c r="F4900" t="s">
        <v>11433</v>
      </c>
      <c r="G4900">
        <v>14</v>
      </c>
      <c r="H4900" t="s">
        <v>3597</v>
      </c>
      <c r="I4900" t="s">
        <v>304</v>
      </c>
      <c r="J4900" t="s">
        <v>3598</v>
      </c>
      <c r="K4900" t="s">
        <v>56</v>
      </c>
      <c r="L4900" t="s">
        <v>8537</v>
      </c>
      <c r="M4900" s="3" t="str">
        <f>HYPERLINK("..\..\Imagery\ScannedPhotos\1993\VN93-033.1.jpg")</f>
        <v>..\..\Imagery\ScannedPhotos\1993\VN93-033.1.jpg</v>
      </c>
    </row>
    <row r="4901" spans="1:13" x14ac:dyDescent="0.25">
      <c r="A4901" t="s">
        <v>11434</v>
      </c>
      <c r="B4901">
        <v>539680</v>
      </c>
      <c r="C4901">
        <v>5730760</v>
      </c>
      <c r="D4901">
        <v>21</v>
      </c>
      <c r="E4901" t="s">
        <v>15</v>
      </c>
      <c r="F4901" t="s">
        <v>11435</v>
      </c>
      <c r="G4901">
        <v>2</v>
      </c>
      <c r="H4901" t="s">
        <v>3597</v>
      </c>
      <c r="I4901" t="s">
        <v>647</v>
      </c>
      <c r="J4901" t="s">
        <v>3598</v>
      </c>
      <c r="K4901" t="s">
        <v>20</v>
      </c>
      <c r="L4901" t="s">
        <v>8537</v>
      </c>
      <c r="M4901" s="3" t="str">
        <f>HYPERLINK("..\..\Imagery\ScannedPhotos\1993\VN93-034.1.jpg")</f>
        <v>..\..\Imagery\ScannedPhotos\1993\VN93-034.1.jpg</v>
      </c>
    </row>
    <row r="4902" spans="1:13" x14ac:dyDescent="0.25">
      <c r="A4902" t="s">
        <v>11434</v>
      </c>
      <c r="B4902">
        <v>539680</v>
      </c>
      <c r="C4902">
        <v>5730760</v>
      </c>
      <c r="D4902">
        <v>21</v>
      </c>
      <c r="E4902" t="s">
        <v>15</v>
      </c>
      <c r="F4902" t="s">
        <v>11436</v>
      </c>
      <c r="G4902">
        <v>2</v>
      </c>
      <c r="H4902" t="s">
        <v>3597</v>
      </c>
      <c r="I4902" t="s">
        <v>30</v>
      </c>
      <c r="J4902" t="s">
        <v>3598</v>
      </c>
      <c r="K4902" t="s">
        <v>20</v>
      </c>
      <c r="L4902" t="s">
        <v>8537</v>
      </c>
      <c r="M4902" s="3" t="str">
        <f>HYPERLINK("..\..\Imagery\ScannedPhotos\1993\VN93-034.2.jpg")</f>
        <v>..\..\Imagery\ScannedPhotos\1993\VN93-034.2.jpg</v>
      </c>
    </row>
    <row r="4903" spans="1:13" x14ac:dyDescent="0.25">
      <c r="A4903" t="s">
        <v>11437</v>
      </c>
      <c r="B4903">
        <v>540500</v>
      </c>
      <c r="C4903">
        <v>5730630</v>
      </c>
      <c r="D4903">
        <v>21</v>
      </c>
      <c r="E4903" t="s">
        <v>15</v>
      </c>
      <c r="F4903" t="s">
        <v>11438</v>
      </c>
      <c r="G4903">
        <v>2</v>
      </c>
      <c r="H4903" t="s">
        <v>3597</v>
      </c>
      <c r="I4903" t="s">
        <v>114</v>
      </c>
      <c r="J4903" t="s">
        <v>3598</v>
      </c>
      <c r="K4903" t="s">
        <v>20</v>
      </c>
      <c r="L4903" t="s">
        <v>11439</v>
      </c>
      <c r="M4903" s="3" t="str">
        <f>HYPERLINK("..\..\Imagery\ScannedPhotos\1993\VN93-036.1.jpg")</f>
        <v>..\..\Imagery\ScannedPhotos\1993\VN93-036.1.jpg</v>
      </c>
    </row>
    <row r="4904" spans="1:13" x14ac:dyDescent="0.25">
      <c r="A4904" t="s">
        <v>4016</v>
      </c>
      <c r="B4904">
        <v>491182</v>
      </c>
      <c r="C4904">
        <v>5831928</v>
      </c>
      <c r="D4904">
        <v>21</v>
      </c>
      <c r="E4904" t="s">
        <v>15</v>
      </c>
      <c r="F4904" t="s">
        <v>11440</v>
      </c>
      <c r="G4904">
        <v>8</v>
      </c>
      <c r="H4904" t="s">
        <v>849</v>
      </c>
      <c r="I4904" t="s">
        <v>65</v>
      </c>
      <c r="J4904" t="s">
        <v>850</v>
      </c>
      <c r="K4904" t="s">
        <v>20</v>
      </c>
      <c r="L4904" t="s">
        <v>6883</v>
      </c>
      <c r="M4904" s="3" t="str">
        <f>HYPERLINK("..\..\Imagery\ScannedPhotos\1991\VN91-221.1.jpg")</f>
        <v>..\..\Imagery\ScannedPhotos\1991\VN91-221.1.jpg</v>
      </c>
    </row>
    <row r="4905" spans="1:13" x14ac:dyDescent="0.25">
      <c r="A4905" t="s">
        <v>4016</v>
      </c>
      <c r="B4905">
        <v>491182</v>
      </c>
      <c r="C4905">
        <v>5831928</v>
      </c>
      <c r="D4905">
        <v>21</v>
      </c>
      <c r="E4905" t="s">
        <v>15</v>
      </c>
      <c r="F4905" t="s">
        <v>11441</v>
      </c>
      <c r="G4905">
        <v>8</v>
      </c>
      <c r="H4905" t="s">
        <v>890</v>
      </c>
      <c r="I4905" t="s">
        <v>41</v>
      </c>
      <c r="J4905" t="s">
        <v>891</v>
      </c>
      <c r="K4905" t="s">
        <v>20</v>
      </c>
      <c r="L4905" t="s">
        <v>11442</v>
      </c>
      <c r="M4905" s="3" t="str">
        <f>HYPERLINK("..\..\Imagery\ScannedPhotos\1991\VN91-221.8.jpg")</f>
        <v>..\..\Imagery\ScannedPhotos\1991\VN91-221.8.jpg</v>
      </c>
    </row>
    <row r="4906" spans="1:13" x14ac:dyDescent="0.25">
      <c r="A4906" t="s">
        <v>7523</v>
      </c>
      <c r="B4906">
        <v>568254</v>
      </c>
      <c r="C4906">
        <v>5820114</v>
      </c>
      <c r="D4906">
        <v>21</v>
      </c>
      <c r="E4906" t="s">
        <v>15</v>
      </c>
      <c r="F4906" t="s">
        <v>11443</v>
      </c>
      <c r="G4906">
        <v>7</v>
      </c>
      <c r="H4906" t="s">
        <v>1750</v>
      </c>
      <c r="I4906" t="s">
        <v>360</v>
      </c>
      <c r="J4906" t="s">
        <v>1751</v>
      </c>
      <c r="K4906" t="s">
        <v>20</v>
      </c>
      <c r="L4906" t="s">
        <v>11444</v>
      </c>
      <c r="M4906" s="3" t="str">
        <f>HYPERLINK("..\..\Imagery\ScannedPhotos\1986\CG86-746.4.jpg")</f>
        <v>..\..\Imagery\ScannedPhotos\1986\CG86-746.4.jpg</v>
      </c>
    </row>
    <row r="4907" spans="1:13" x14ac:dyDescent="0.25">
      <c r="A4907" t="s">
        <v>7523</v>
      </c>
      <c r="B4907">
        <v>568254</v>
      </c>
      <c r="C4907">
        <v>5820114</v>
      </c>
      <c r="D4907">
        <v>21</v>
      </c>
      <c r="E4907" t="s">
        <v>15</v>
      </c>
      <c r="F4907" t="s">
        <v>11445</v>
      </c>
      <c r="G4907">
        <v>7</v>
      </c>
      <c r="H4907" t="s">
        <v>1750</v>
      </c>
      <c r="I4907" t="s">
        <v>25</v>
      </c>
      <c r="J4907" t="s">
        <v>1751</v>
      </c>
      <c r="K4907" t="s">
        <v>56</v>
      </c>
      <c r="L4907" t="s">
        <v>7531</v>
      </c>
      <c r="M4907" s="3" t="str">
        <f>HYPERLINK("..\..\Imagery\ScannedPhotos\1986\CG86-746.3.jpg")</f>
        <v>..\..\Imagery\ScannedPhotos\1986\CG86-746.3.jpg</v>
      </c>
    </row>
    <row r="4908" spans="1:13" x14ac:dyDescent="0.25">
      <c r="A4908" t="s">
        <v>11446</v>
      </c>
      <c r="B4908">
        <v>530601</v>
      </c>
      <c r="C4908">
        <v>5819184</v>
      </c>
      <c r="D4908">
        <v>21</v>
      </c>
      <c r="E4908" t="s">
        <v>15</v>
      </c>
      <c r="F4908" t="s">
        <v>11447</v>
      </c>
      <c r="G4908">
        <v>4</v>
      </c>
      <c r="H4908" t="s">
        <v>2106</v>
      </c>
      <c r="I4908" t="s">
        <v>222</v>
      </c>
      <c r="J4908" t="s">
        <v>2107</v>
      </c>
      <c r="K4908" t="s">
        <v>535</v>
      </c>
      <c r="L4908" t="s">
        <v>11448</v>
      </c>
      <c r="M4908" s="3" t="str">
        <f>HYPERLINK("..\..\Imagery\ScannedPhotos\1986\CG86-754.2.jpg")</f>
        <v>..\..\Imagery\ScannedPhotos\1986\CG86-754.2.jpg</v>
      </c>
    </row>
    <row r="4909" spans="1:13" x14ac:dyDescent="0.25">
      <c r="A4909" t="s">
        <v>567</v>
      </c>
      <c r="B4909">
        <v>519977</v>
      </c>
      <c r="C4909">
        <v>5723475</v>
      </c>
      <c r="D4909">
        <v>21</v>
      </c>
      <c r="E4909" t="s">
        <v>15</v>
      </c>
      <c r="F4909" t="s">
        <v>11449</v>
      </c>
      <c r="G4909">
        <v>4</v>
      </c>
      <c r="H4909" t="s">
        <v>569</v>
      </c>
      <c r="I4909" t="s">
        <v>137</v>
      </c>
      <c r="J4909" t="s">
        <v>570</v>
      </c>
      <c r="K4909" t="s">
        <v>56</v>
      </c>
      <c r="L4909" t="s">
        <v>11450</v>
      </c>
      <c r="M4909" s="3" t="str">
        <f>HYPERLINK("..\..\Imagery\ScannedPhotos\1993\CG93-183.4.jpg")</f>
        <v>..\..\Imagery\ScannedPhotos\1993\CG93-183.4.jpg</v>
      </c>
    </row>
    <row r="4910" spans="1:13" x14ac:dyDescent="0.25">
      <c r="A4910" t="s">
        <v>643</v>
      </c>
      <c r="B4910">
        <v>478407</v>
      </c>
      <c r="C4910">
        <v>5938436</v>
      </c>
      <c r="D4910">
        <v>21</v>
      </c>
      <c r="E4910" t="s">
        <v>15</v>
      </c>
      <c r="F4910" t="s">
        <v>11451</v>
      </c>
      <c r="G4910">
        <v>4</v>
      </c>
      <c r="H4910" t="s">
        <v>632</v>
      </c>
      <c r="I4910" t="s">
        <v>30</v>
      </c>
      <c r="J4910" t="s">
        <v>633</v>
      </c>
      <c r="K4910" t="s">
        <v>20</v>
      </c>
      <c r="L4910" t="s">
        <v>5257</v>
      </c>
      <c r="M4910" s="3" t="str">
        <f>HYPERLINK("..\..\Imagery\ScannedPhotos\1977\MC77-097.3.jpg")</f>
        <v>..\..\Imagery\ScannedPhotos\1977\MC77-097.3.jpg</v>
      </c>
    </row>
    <row r="4911" spans="1:13" x14ac:dyDescent="0.25">
      <c r="A4911" t="s">
        <v>11452</v>
      </c>
      <c r="B4911">
        <v>557861</v>
      </c>
      <c r="C4911">
        <v>5741700</v>
      </c>
      <c r="D4911">
        <v>21</v>
      </c>
      <c r="E4911" t="s">
        <v>15</v>
      </c>
      <c r="F4911" t="s">
        <v>11453</v>
      </c>
      <c r="G4911">
        <v>1</v>
      </c>
      <c r="H4911" t="s">
        <v>7220</v>
      </c>
      <c r="I4911" t="s">
        <v>132</v>
      </c>
      <c r="J4911" t="s">
        <v>1738</v>
      </c>
      <c r="K4911" t="s">
        <v>20</v>
      </c>
      <c r="L4911" t="s">
        <v>11454</v>
      </c>
      <c r="M4911" s="3" t="str">
        <f>HYPERLINK("..\..\Imagery\ScannedPhotos\1993\CG93-411.jpg")</f>
        <v>..\..\Imagery\ScannedPhotos\1993\CG93-411.jpg</v>
      </c>
    </row>
    <row r="4912" spans="1:13" x14ac:dyDescent="0.25">
      <c r="A4912" t="s">
        <v>11455</v>
      </c>
      <c r="B4912">
        <v>443818</v>
      </c>
      <c r="C4912">
        <v>5773811</v>
      </c>
      <c r="D4912">
        <v>21</v>
      </c>
      <c r="E4912" t="s">
        <v>15</v>
      </c>
      <c r="F4912" t="s">
        <v>11456</v>
      </c>
      <c r="G4912">
        <v>9</v>
      </c>
      <c r="H4912" t="s">
        <v>9755</v>
      </c>
      <c r="I4912" t="s">
        <v>418</v>
      </c>
      <c r="J4912" t="s">
        <v>9756</v>
      </c>
      <c r="K4912" t="s">
        <v>935</v>
      </c>
      <c r="L4912" t="s">
        <v>11457</v>
      </c>
      <c r="M4912" s="3" t="str">
        <f>HYPERLINK("..\..\Imagery\ScannedPhotos\1992\HP92-143.8.jpg")</f>
        <v>..\..\Imagery\ScannedPhotos\1992\HP92-143.8.jpg</v>
      </c>
    </row>
    <row r="4913" spans="1:14" x14ac:dyDescent="0.25">
      <c r="A4913" t="s">
        <v>10356</v>
      </c>
      <c r="B4913">
        <v>494813</v>
      </c>
      <c r="C4913">
        <v>5788200</v>
      </c>
      <c r="D4913">
        <v>21</v>
      </c>
      <c r="E4913" t="s">
        <v>15</v>
      </c>
      <c r="F4913" t="s">
        <v>11458</v>
      </c>
      <c r="G4913">
        <v>3</v>
      </c>
      <c r="H4913" t="s">
        <v>2344</v>
      </c>
      <c r="I4913" t="s">
        <v>214</v>
      </c>
      <c r="J4913" t="s">
        <v>2341</v>
      </c>
      <c r="K4913" t="s">
        <v>20</v>
      </c>
      <c r="L4913" t="s">
        <v>11459</v>
      </c>
      <c r="M4913" s="3" t="str">
        <f>HYPERLINK("..\..\Imagery\ScannedPhotos\1992\JA92-041.1.jpg")</f>
        <v>..\..\Imagery\ScannedPhotos\1992\JA92-041.1.jpg</v>
      </c>
    </row>
    <row r="4914" spans="1:14" x14ac:dyDescent="0.25">
      <c r="A4914" t="s">
        <v>10356</v>
      </c>
      <c r="B4914">
        <v>494813</v>
      </c>
      <c r="C4914">
        <v>5788200</v>
      </c>
      <c r="D4914">
        <v>21</v>
      </c>
      <c r="E4914" t="s">
        <v>15</v>
      </c>
      <c r="F4914" t="s">
        <v>11460</v>
      </c>
      <c r="G4914">
        <v>3</v>
      </c>
      <c r="H4914" t="s">
        <v>2344</v>
      </c>
      <c r="I4914" t="s">
        <v>222</v>
      </c>
      <c r="J4914" t="s">
        <v>2341</v>
      </c>
      <c r="K4914" t="s">
        <v>20</v>
      </c>
      <c r="L4914" t="s">
        <v>11461</v>
      </c>
      <c r="M4914" s="3" t="str">
        <f>HYPERLINK("..\..\Imagery\ScannedPhotos\1992\JA92-041.2.jpg")</f>
        <v>..\..\Imagery\ScannedPhotos\1992\JA92-041.2.jpg</v>
      </c>
    </row>
    <row r="4915" spans="1:14" x14ac:dyDescent="0.25">
      <c r="A4915" t="s">
        <v>11462</v>
      </c>
      <c r="B4915">
        <v>494569</v>
      </c>
      <c r="C4915">
        <v>5788281</v>
      </c>
      <c r="D4915">
        <v>21</v>
      </c>
      <c r="E4915" t="s">
        <v>15</v>
      </c>
      <c r="F4915" t="s">
        <v>11463</v>
      </c>
      <c r="G4915">
        <v>1</v>
      </c>
      <c r="H4915" t="s">
        <v>2344</v>
      </c>
      <c r="I4915" t="s">
        <v>304</v>
      </c>
      <c r="J4915" t="s">
        <v>2341</v>
      </c>
      <c r="K4915" t="s">
        <v>20</v>
      </c>
      <c r="L4915" t="s">
        <v>11235</v>
      </c>
      <c r="M4915" s="3" t="str">
        <f>HYPERLINK("..\..\Imagery\ScannedPhotos\1992\JA92-042.jpg")</f>
        <v>..\..\Imagery\ScannedPhotos\1992\JA92-042.jpg</v>
      </c>
    </row>
    <row r="4916" spans="1:14" x14ac:dyDescent="0.25">
      <c r="A4916" t="s">
        <v>11464</v>
      </c>
      <c r="B4916">
        <v>494425</v>
      </c>
      <c r="C4916">
        <v>5788250</v>
      </c>
      <c r="D4916">
        <v>21</v>
      </c>
      <c r="E4916" t="s">
        <v>15</v>
      </c>
      <c r="F4916" t="s">
        <v>11465</v>
      </c>
      <c r="G4916">
        <v>1</v>
      </c>
      <c r="H4916" t="s">
        <v>2344</v>
      </c>
      <c r="I4916" t="s">
        <v>195</v>
      </c>
      <c r="J4916" t="s">
        <v>2341</v>
      </c>
      <c r="K4916" t="s">
        <v>20</v>
      </c>
      <c r="L4916" t="s">
        <v>11466</v>
      </c>
      <c r="M4916" s="3" t="str">
        <f>HYPERLINK("..\..\Imagery\ScannedPhotos\1992\JA92-043.jpg")</f>
        <v>..\..\Imagery\ScannedPhotos\1992\JA92-043.jpg</v>
      </c>
    </row>
    <row r="4917" spans="1:14" x14ac:dyDescent="0.25">
      <c r="A4917" t="s">
        <v>11467</v>
      </c>
      <c r="B4917">
        <v>494287</v>
      </c>
      <c r="C4917">
        <v>5788194</v>
      </c>
      <c r="D4917">
        <v>21</v>
      </c>
      <c r="E4917" t="s">
        <v>15</v>
      </c>
      <c r="F4917" t="s">
        <v>11468</v>
      </c>
      <c r="G4917">
        <v>1</v>
      </c>
      <c r="H4917" t="s">
        <v>2344</v>
      </c>
      <c r="I4917" t="s">
        <v>25</v>
      </c>
      <c r="J4917" t="s">
        <v>2341</v>
      </c>
      <c r="K4917" t="s">
        <v>20</v>
      </c>
      <c r="L4917" t="s">
        <v>11469</v>
      </c>
      <c r="M4917" s="3" t="str">
        <f>HYPERLINK("..\..\Imagery\ScannedPhotos\1992\JA92-044.jpg")</f>
        <v>..\..\Imagery\ScannedPhotos\1992\JA92-044.jpg</v>
      </c>
    </row>
    <row r="4918" spans="1:14" x14ac:dyDescent="0.25">
      <c r="A4918" t="s">
        <v>11470</v>
      </c>
      <c r="B4918">
        <v>551252</v>
      </c>
      <c r="C4918">
        <v>5762635</v>
      </c>
      <c r="D4918">
        <v>21</v>
      </c>
      <c r="E4918" t="s">
        <v>15</v>
      </c>
      <c r="F4918" t="s">
        <v>11471</v>
      </c>
      <c r="G4918">
        <v>1</v>
      </c>
      <c r="K4918" t="s">
        <v>228</v>
      </c>
      <c r="L4918" t="s">
        <v>11472</v>
      </c>
      <c r="M4918" s="3" t="str">
        <f>HYPERLINK("..\..\Imagery\ScannedPhotos\2003\CG03-067.jpg")</f>
        <v>..\..\Imagery\ScannedPhotos\2003\CG03-067.jpg</v>
      </c>
    </row>
    <row r="4919" spans="1:14" x14ac:dyDescent="0.25">
      <c r="A4919" t="s">
        <v>11473</v>
      </c>
      <c r="B4919">
        <v>557066</v>
      </c>
      <c r="C4919">
        <v>5770832</v>
      </c>
      <c r="D4919">
        <v>21</v>
      </c>
      <c r="E4919" t="s">
        <v>15</v>
      </c>
      <c r="F4919" t="s">
        <v>11474</v>
      </c>
      <c r="G4919">
        <v>1</v>
      </c>
      <c r="K4919" t="s">
        <v>228</v>
      </c>
      <c r="L4919" t="s">
        <v>11475</v>
      </c>
      <c r="M4919" s="3" t="str">
        <f>HYPERLINK("..\..\Imagery\ScannedPhotos\2003\CG03-082.jpg")</f>
        <v>..\..\Imagery\ScannedPhotos\2003\CG03-082.jpg</v>
      </c>
    </row>
    <row r="4920" spans="1:14" x14ac:dyDescent="0.25">
      <c r="A4920" t="s">
        <v>6488</v>
      </c>
      <c r="B4920">
        <v>585145</v>
      </c>
      <c r="C4920">
        <v>5791116</v>
      </c>
      <c r="D4920">
        <v>21</v>
      </c>
      <c r="E4920" t="s">
        <v>15</v>
      </c>
      <c r="F4920" t="s">
        <v>11476</v>
      </c>
      <c r="G4920">
        <v>11</v>
      </c>
      <c r="H4920" t="s">
        <v>813</v>
      </c>
      <c r="I4920" t="s">
        <v>74</v>
      </c>
      <c r="J4920" t="s">
        <v>814</v>
      </c>
      <c r="K4920" t="s">
        <v>535</v>
      </c>
      <c r="L4920" t="s">
        <v>11477</v>
      </c>
      <c r="M4920" s="3" t="str">
        <f>HYPERLINK("..\..\Imagery\ScannedPhotos\1987\CG87-469.8E.jpg")</f>
        <v>..\..\Imagery\ScannedPhotos\1987\CG87-469.8E.jpg</v>
      </c>
      <c r="N4920" t="s">
        <v>1808</v>
      </c>
    </row>
    <row r="4921" spans="1:14" x14ac:dyDescent="0.25">
      <c r="A4921" t="s">
        <v>6488</v>
      </c>
      <c r="B4921">
        <v>585145</v>
      </c>
      <c r="C4921">
        <v>5791116</v>
      </c>
      <c r="D4921">
        <v>21</v>
      </c>
      <c r="E4921" t="s">
        <v>15</v>
      </c>
      <c r="F4921" t="s">
        <v>11478</v>
      </c>
      <c r="G4921">
        <v>11</v>
      </c>
      <c r="H4921" t="s">
        <v>2344</v>
      </c>
      <c r="I4921" t="s">
        <v>52</v>
      </c>
      <c r="J4921" t="s">
        <v>2341</v>
      </c>
      <c r="K4921" t="s">
        <v>535</v>
      </c>
      <c r="L4921" t="s">
        <v>11479</v>
      </c>
      <c r="M4921" s="3" t="str">
        <f>HYPERLINK("..\..\Imagery\ScannedPhotos\1987\CG87-469.10E.jpg")</f>
        <v>..\..\Imagery\ScannedPhotos\1987\CG87-469.10E.jpg</v>
      </c>
      <c r="N4921" t="s">
        <v>1808</v>
      </c>
    </row>
    <row r="4922" spans="1:14" x14ac:dyDescent="0.25">
      <c r="A4922" t="s">
        <v>6488</v>
      </c>
      <c r="B4922">
        <v>585145</v>
      </c>
      <c r="C4922">
        <v>5791116</v>
      </c>
      <c r="D4922">
        <v>21</v>
      </c>
      <c r="E4922" t="s">
        <v>15</v>
      </c>
      <c r="F4922" t="s">
        <v>11480</v>
      </c>
      <c r="G4922">
        <v>11</v>
      </c>
      <c r="H4922" t="s">
        <v>2344</v>
      </c>
      <c r="I4922" t="s">
        <v>65</v>
      </c>
      <c r="J4922" t="s">
        <v>2341</v>
      </c>
      <c r="K4922" t="s">
        <v>535</v>
      </c>
      <c r="L4922" t="s">
        <v>11481</v>
      </c>
      <c r="M4922" s="3" t="str">
        <f>HYPERLINK("..\..\Imagery\ScannedPhotos\1987\CG87-469.11E.jpg")</f>
        <v>..\..\Imagery\ScannedPhotos\1987\CG87-469.11E.jpg</v>
      </c>
      <c r="N4922" t="s">
        <v>1808</v>
      </c>
    </row>
    <row r="4923" spans="1:14" x14ac:dyDescent="0.25">
      <c r="A4923" t="s">
        <v>9796</v>
      </c>
      <c r="B4923">
        <v>587579</v>
      </c>
      <c r="C4923">
        <v>5766326</v>
      </c>
      <c r="D4923">
        <v>21</v>
      </c>
      <c r="E4923" t="s">
        <v>15</v>
      </c>
      <c r="F4923" t="s">
        <v>11482</v>
      </c>
      <c r="G4923">
        <v>12</v>
      </c>
      <c r="H4923" t="s">
        <v>2099</v>
      </c>
      <c r="J4923" t="s">
        <v>48</v>
      </c>
      <c r="K4923" t="s">
        <v>228</v>
      </c>
      <c r="L4923" t="s">
        <v>11483</v>
      </c>
      <c r="M4923" s="3" t="str">
        <f>HYPERLINK("..\..\Imagery\ScannedPhotos\1987\CG87-478.2cropped.jpg")</f>
        <v>..\..\Imagery\ScannedPhotos\1987\CG87-478.2cropped.jpg</v>
      </c>
      <c r="N4923" t="s">
        <v>4297</v>
      </c>
    </row>
    <row r="4924" spans="1:14" x14ac:dyDescent="0.25">
      <c r="A4924" t="s">
        <v>9796</v>
      </c>
      <c r="B4924">
        <v>587579</v>
      </c>
      <c r="C4924">
        <v>5766326</v>
      </c>
      <c r="D4924">
        <v>21</v>
      </c>
      <c r="E4924" t="s">
        <v>15</v>
      </c>
      <c r="F4924" t="s">
        <v>11484</v>
      </c>
      <c r="G4924">
        <v>12</v>
      </c>
      <c r="H4924" t="s">
        <v>34</v>
      </c>
      <c r="I4924" t="s">
        <v>137</v>
      </c>
      <c r="J4924" t="s">
        <v>36</v>
      </c>
      <c r="K4924" t="s">
        <v>20</v>
      </c>
      <c r="L4924" t="s">
        <v>10593</v>
      </c>
      <c r="M4924" s="3" t="str">
        <f>HYPERLINK("..\..\Imagery\ScannedPhotos\1987\CG87-478.3E.jpg")</f>
        <v>..\..\Imagery\ScannedPhotos\1987\CG87-478.3E.jpg</v>
      </c>
      <c r="N4924" t="s">
        <v>1808</v>
      </c>
    </row>
    <row r="4925" spans="1:14" x14ac:dyDescent="0.25">
      <c r="A4925" t="s">
        <v>9796</v>
      </c>
      <c r="B4925">
        <v>587579</v>
      </c>
      <c r="C4925">
        <v>5766326</v>
      </c>
      <c r="D4925">
        <v>21</v>
      </c>
      <c r="E4925" t="s">
        <v>15</v>
      </c>
      <c r="F4925" t="s">
        <v>11485</v>
      </c>
      <c r="G4925">
        <v>12</v>
      </c>
      <c r="H4925" t="s">
        <v>34</v>
      </c>
      <c r="I4925" t="s">
        <v>85</v>
      </c>
      <c r="J4925" t="s">
        <v>36</v>
      </c>
      <c r="K4925" t="s">
        <v>56</v>
      </c>
      <c r="L4925" t="s">
        <v>9800</v>
      </c>
      <c r="M4925" s="3" t="str">
        <f>HYPERLINK("..\..\Imagery\ScannedPhotos\1987\CG87-478.8cropped.jpg")</f>
        <v>..\..\Imagery\ScannedPhotos\1987\CG87-478.8cropped.jpg</v>
      </c>
      <c r="N4925" t="s">
        <v>4297</v>
      </c>
    </row>
    <row r="4926" spans="1:14" x14ac:dyDescent="0.25">
      <c r="A4926" t="s">
        <v>10819</v>
      </c>
      <c r="B4926">
        <v>587620</v>
      </c>
      <c r="C4926">
        <v>5768998</v>
      </c>
      <c r="D4926">
        <v>21</v>
      </c>
      <c r="E4926" t="s">
        <v>15</v>
      </c>
      <c r="F4926" t="s">
        <v>11486</v>
      </c>
      <c r="G4926">
        <v>4</v>
      </c>
      <c r="H4926" t="s">
        <v>2099</v>
      </c>
      <c r="J4926" t="s">
        <v>48</v>
      </c>
      <c r="K4926" t="s">
        <v>20</v>
      </c>
      <c r="L4926" t="s">
        <v>11487</v>
      </c>
      <c r="M4926" s="3" t="str">
        <f>HYPERLINK("..\..\Imagery\ScannedPhotos\1987\CG87-480.1cropped.jpg")</f>
        <v>..\..\Imagery\ScannedPhotos\1987\CG87-480.1cropped.jpg</v>
      </c>
      <c r="N4926" t="s">
        <v>4297</v>
      </c>
    </row>
    <row r="4927" spans="1:14" x14ac:dyDescent="0.25">
      <c r="A4927" t="s">
        <v>11488</v>
      </c>
      <c r="B4927">
        <v>587269</v>
      </c>
      <c r="C4927">
        <v>5770111</v>
      </c>
      <c r="D4927">
        <v>21</v>
      </c>
      <c r="E4927" t="s">
        <v>15</v>
      </c>
      <c r="F4927" t="s">
        <v>11489</v>
      </c>
      <c r="G4927">
        <v>1</v>
      </c>
      <c r="H4927" t="s">
        <v>34</v>
      </c>
      <c r="I4927" t="s">
        <v>418</v>
      </c>
      <c r="J4927" t="s">
        <v>36</v>
      </c>
      <c r="K4927" t="s">
        <v>228</v>
      </c>
      <c r="L4927" t="s">
        <v>11490</v>
      </c>
      <c r="M4927" s="3" t="str">
        <f>HYPERLINK("..\..\Imagery\ScannedPhotos\1987\CG87-483E.jpg")</f>
        <v>..\..\Imagery\ScannedPhotos\1987\CG87-483E.jpg</v>
      </c>
      <c r="N4927" t="s">
        <v>1808</v>
      </c>
    </row>
    <row r="4928" spans="1:14" x14ac:dyDescent="0.25">
      <c r="A4928" t="s">
        <v>11097</v>
      </c>
      <c r="B4928">
        <v>579000</v>
      </c>
      <c r="C4928">
        <v>5760720</v>
      </c>
      <c r="D4928">
        <v>21</v>
      </c>
      <c r="E4928" t="s">
        <v>15</v>
      </c>
      <c r="F4928" t="s">
        <v>11491</v>
      </c>
      <c r="G4928">
        <v>9</v>
      </c>
      <c r="H4928" t="s">
        <v>34</v>
      </c>
      <c r="I4928" t="s">
        <v>30</v>
      </c>
      <c r="J4928" t="s">
        <v>36</v>
      </c>
      <c r="K4928" t="s">
        <v>20</v>
      </c>
      <c r="L4928" t="s">
        <v>11103</v>
      </c>
      <c r="M4928" s="3" t="str">
        <f>HYPERLINK("..\..\Imagery\ScannedPhotos\1987\CG87-484.2cropped.jpg")</f>
        <v>..\..\Imagery\ScannedPhotos\1987\CG87-484.2cropped.jpg</v>
      </c>
      <c r="N4928" t="s">
        <v>4297</v>
      </c>
    </row>
    <row r="4929" spans="1:14" x14ac:dyDescent="0.25">
      <c r="A4929" t="s">
        <v>11097</v>
      </c>
      <c r="B4929">
        <v>579000</v>
      </c>
      <c r="C4929">
        <v>5760720</v>
      </c>
      <c r="D4929">
        <v>21</v>
      </c>
      <c r="E4929" t="s">
        <v>15</v>
      </c>
      <c r="F4929" t="s">
        <v>11492</v>
      </c>
      <c r="G4929">
        <v>9</v>
      </c>
      <c r="H4929" t="s">
        <v>1390</v>
      </c>
      <c r="I4929" t="s">
        <v>85</v>
      </c>
      <c r="J4929" t="s">
        <v>1391</v>
      </c>
      <c r="K4929" t="s">
        <v>20</v>
      </c>
      <c r="L4929" t="s">
        <v>11103</v>
      </c>
      <c r="M4929" s="3" t="str">
        <f>HYPERLINK("..\..\Imagery\ScannedPhotos\1987\CG87-484.3E.jpg")</f>
        <v>..\..\Imagery\ScannedPhotos\1987\CG87-484.3E.jpg</v>
      </c>
      <c r="N4929" t="s">
        <v>1808</v>
      </c>
    </row>
    <row r="4930" spans="1:14" x14ac:dyDescent="0.25">
      <c r="A4930" t="s">
        <v>11097</v>
      </c>
      <c r="B4930">
        <v>579000</v>
      </c>
      <c r="C4930">
        <v>5760720</v>
      </c>
      <c r="D4930">
        <v>21</v>
      </c>
      <c r="E4930" t="s">
        <v>15</v>
      </c>
      <c r="F4930" t="s">
        <v>11493</v>
      </c>
      <c r="G4930">
        <v>9</v>
      </c>
      <c r="H4930" t="s">
        <v>1390</v>
      </c>
      <c r="I4930" t="s">
        <v>375</v>
      </c>
      <c r="J4930" t="s">
        <v>1391</v>
      </c>
      <c r="K4930" t="s">
        <v>20</v>
      </c>
      <c r="L4930" t="s">
        <v>11494</v>
      </c>
      <c r="M4930" s="3" t="str">
        <f>HYPERLINK("..\..\Imagery\ScannedPhotos\1987\CG87-484.4E.jpg")</f>
        <v>..\..\Imagery\ScannedPhotos\1987\CG87-484.4E.jpg</v>
      </c>
      <c r="N4930" t="s">
        <v>1808</v>
      </c>
    </row>
    <row r="4931" spans="1:14" x14ac:dyDescent="0.25">
      <c r="A4931" t="s">
        <v>11097</v>
      </c>
      <c r="B4931">
        <v>579000</v>
      </c>
      <c r="C4931">
        <v>5760720</v>
      </c>
      <c r="D4931">
        <v>21</v>
      </c>
      <c r="E4931" t="s">
        <v>15</v>
      </c>
      <c r="F4931" t="s">
        <v>11495</v>
      </c>
      <c r="G4931">
        <v>9</v>
      </c>
      <c r="H4931" t="s">
        <v>1390</v>
      </c>
      <c r="I4931" t="s">
        <v>94</v>
      </c>
      <c r="J4931" t="s">
        <v>36</v>
      </c>
      <c r="K4931" t="s">
        <v>20</v>
      </c>
      <c r="L4931" t="s">
        <v>11496</v>
      </c>
      <c r="M4931" s="3" t="str">
        <f>HYPERLINK("..\..\Imagery\ScannedPhotos\1987\CG87-484.5E.jpg")</f>
        <v>..\..\Imagery\ScannedPhotos\1987\CG87-484.5E.jpg</v>
      </c>
      <c r="N4931" t="s">
        <v>1808</v>
      </c>
    </row>
    <row r="4932" spans="1:14" x14ac:dyDescent="0.25">
      <c r="A4932" t="s">
        <v>11097</v>
      </c>
      <c r="B4932">
        <v>579000</v>
      </c>
      <c r="C4932">
        <v>5760720</v>
      </c>
      <c r="D4932">
        <v>21</v>
      </c>
      <c r="E4932" t="s">
        <v>15</v>
      </c>
      <c r="F4932" t="s">
        <v>11497</v>
      </c>
      <c r="G4932">
        <v>9</v>
      </c>
      <c r="H4932" t="s">
        <v>4315</v>
      </c>
      <c r="I4932" t="s">
        <v>217</v>
      </c>
      <c r="J4932" t="s">
        <v>996</v>
      </c>
      <c r="K4932" t="s">
        <v>228</v>
      </c>
      <c r="L4932" t="s">
        <v>11498</v>
      </c>
      <c r="M4932" s="3" t="str">
        <f>HYPERLINK("..\..\Imagery\ScannedPhotos\1987\CG87-484.6E.jpg")</f>
        <v>..\..\Imagery\ScannedPhotos\1987\CG87-484.6E.jpg</v>
      </c>
      <c r="N4932" t="s">
        <v>1808</v>
      </c>
    </row>
    <row r="4933" spans="1:14" x14ac:dyDescent="0.25">
      <c r="A4933" t="s">
        <v>11499</v>
      </c>
      <c r="B4933">
        <v>440451</v>
      </c>
      <c r="C4933">
        <v>5784426</v>
      </c>
      <c r="D4933">
        <v>21</v>
      </c>
      <c r="E4933" t="s">
        <v>15</v>
      </c>
      <c r="F4933" t="s">
        <v>11500</v>
      </c>
      <c r="G4933">
        <v>1</v>
      </c>
      <c r="H4933" t="s">
        <v>5587</v>
      </c>
      <c r="I4933" t="s">
        <v>143</v>
      </c>
      <c r="J4933" t="s">
        <v>2341</v>
      </c>
      <c r="K4933" t="s">
        <v>56</v>
      </c>
      <c r="L4933" t="s">
        <v>1901</v>
      </c>
      <c r="M4933" s="3" t="str">
        <f>HYPERLINK("..\..\Imagery\ScannedPhotos\1992\VN92-125cropped.jpg")</f>
        <v>..\..\Imagery\ScannedPhotos\1992\VN92-125cropped.jpg</v>
      </c>
      <c r="N4933" t="s">
        <v>4297</v>
      </c>
    </row>
    <row r="4934" spans="1:14" x14ac:dyDescent="0.25">
      <c r="A4934" t="s">
        <v>6583</v>
      </c>
      <c r="B4934">
        <v>477286</v>
      </c>
      <c r="C4934">
        <v>5786968</v>
      </c>
      <c r="D4934">
        <v>21</v>
      </c>
      <c r="E4934" t="s">
        <v>15</v>
      </c>
      <c r="F4934" t="s">
        <v>11501</v>
      </c>
      <c r="G4934">
        <v>2</v>
      </c>
      <c r="H4934" t="s">
        <v>1163</v>
      </c>
      <c r="I4934" t="s">
        <v>304</v>
      </c>
      <c r="J4934" t="s">
        <v>814</v>
      </c>
      <c r="K4934" t="s">
        <v>56</v>
      </c>
      <c r="L4934" t="s">
        <v>2281</v>
      </c>
      <c r="M4934" s="3" t="str">
        <f>HYPERLINK("..\..\Imagery\ScannedPhotos\1992\VN92-139.2cropped.jpg")</f>
        <v>..\..\Imagery\ScannedPhotos\1992\VN92-139.2cropped.jpg</v>
      </c>
      <c r="N4934" t="s">
        <v>4297</v>
      </c>
    </row>
    <row r="4935" spans="1:14" x14ac:dyDescent="0.25">
      <c r="A4935" t="s">
        <v>6360</v>
      </c>
      <c r="B4935">
        <v>451009</v>
      </c>
      <c r="C4935">
        <v>5773044</v>
      </c>
      <c r="D4935">
        <v>21</v>
      </c>
      <c r="E4935" t="s">
        <v>15</v>
      </c>
      <c r="F4935" t="s">
        <v>11502</v>
      </c>
      <c r="G4935">
        <v>9</v>
      </c>
      <c r="H4935" t="s">
        <v>4076</v>
      </c>
      <c r="I4935" t="s">
        <v>74</v>
      </c>
      <c r="J4935" t="s">
        <v>905</v>
      </c>
      <c r="K4935" t="s">
        <v>56</v>
      </c>
      <c r="L4935" t="s">
        <v>11503</v>
      </c>
      <c r="M4935" s="3" t="str">
        <f>HYPERLINK("..\..\Imagery\ScannedPhotos\1992\VN92-161.3cropped.jpg")</f>
        <v>..\..\Imagery\ScannedPhotos\1992\VN92-161.3cropped.jpg</v>
      </c>
      <c r="N4935" t="s">
        <v>4297</v>
      </c>
    </row>
    <row r="4936" spans="1:14" x14ac:dyDescent="0.25">
      <c r="A4936" t="s">
        <v>11437</v>
      </c>
      <c r="B4936">
        <v>540500</v>
      </c>
      <c r="C4936">
        <v>5730630</v>
      </c>
      <c r="D4936">
        <v>21</v>
      </c>
      <c r="E4936" t="s">
        <v>15</v>
      </c>
      <c r="F4936" t="s">
        <v>11504</v>
      </c>
      <c r="G4936">
        <v>2</v>
      </c>
      <c r="H4936" t="s">
        <v>3597</v>
      </c>
      <c r="I4936" t="s">
        <v>119</v>
      </c>
      <c r="J4936" t="s">
        <v>3598</v>
      </c>
      <c r="K4936" t="s">
        <v>20</v>
      </c>
      <c r="L4936" t="s">
        <v>11505</v>
      </c>
      <c r="M4936" s="3" t="str">
        <f>HYPERLINK("..\..\Imagery\ScannedPhotos\1993\VN93-036.2.jpg")</f>
        <v>..\..\Imagery\ScannedPhotos\1993\VN93-036.2.jpg</v>
      </c>
    </row>
    <row r="4937" spans="1:14" x14ac:dyDescent="0.25">
      <c r="A4937" t="s">
        <v>6868</v>
      </c>
      <c r="B4937">
        <v>541209</v>
      </c>
      <c r="C4937">
        <v>5730894</v>
      </c>
      <c r="D4937">
        <v>21</v>
      </c>
      <c r="E4937" t="s">
        <v>15</v>
      </c>
      <c r="F4937" t="s">
        <v>11506</v>
      </c>
      <c r="G4937">
        <v>5</v>
      </c>
      <c r="H4937" t="s">
        <v>3597</v>
      </c>
      <c r="I4937" t="s">
        <v>129</v>
      </c>
      <c r="J4937" t="s">
        <v>3598</v>
      </c>
      <c r="K4937" t="s">
        <v>56</v>
      </c>
      <c r="L4937" t="s">
        <v>6870</v>
      </c>
      <c r="M4937" s="3" t="str">
        <f>HYPERLINK("..\..\Imagery\ScannedPhotos\1993\VN93-038.5.jpg")</f>
        <v>..\..\Imagery\ScannedPhotos\1993\VN93-038.5.jpg</v>
      </c>
    </row>
    <row r="4938" spans="1:14" x14ac:dyDescent="0.25">
      <c r="A4938" t="s">
        <v>6868</v>
      </c>
      <c r="B4938">
        <v>541209</v>
      </c>
      <c r="C4938">
        <v>5730894</v>
      </c>
      <c r="D4938">
        <v>21</v>
      </c>
      <c r="E4938" t="s">
        <v>15</v>
      </c>
      <c r="F4938" t="s">
        <v>11507</v>
      </c>
      <c r="G4938">
        <v>5</v>
      </c>
      <c r="H4938" t="s">
        <v>3597</v>
      </c>
      <c r="I4938" t="s">
        <v>126</v>
      </c>
      <c r="J4938" t="s">
        <v>3598</v>
      </c>
      <c r="K4938" t="s">
        <v>56</v>
      </c>
      <c r="L4938" t="s">
        <v>11508</v>
      </c>
      <c r="M4938" s="3" t="str">
        <f>HYPERLINK("..\..\Imagery\ScannedPhotos\1993\VN93-038.2.jpg")</f>
        <v>..\..\Imagery\ScannedPhotos\1993\VN93-038.2.jpg</v>
      </c>
    </row>
    <row r="4939" spans="1:14" x14ac:dyDescent="0.25">
      <c r="A4939" t="s">
        <v>2264</v>
      </c>
      <c r="B4939">
        <v>511599</v>
      </c>
      <c r="C4939">
        <v>5710570</v>
      </c>
      <c r="D4939">
        <v>21</v>
      </c>
      <c r="E4939" t="s">
        <v>15</v>
      </c>
      <c r="F4939" t="s">
        <v>11509</v>
      </c>
      <c r="G4939">
        <v>4</v>
      </c>
      <c r="H4939" t="s">
        <v>1338</v>
      </c>
      <c r="I4939" t="s">
        <v>74</v>
      </c>
      <c r="J4939" t="s">
        <v>570</v>
      </c>
      <c r="K4939" t="s">
        <v>20</v>
      </c>
      <c r="L4939" t="s">
        <v>11510</v>
      </c>
      <c r="M4939" s="3" t="str">
        <f>HYPERLINK("..\..\Imagery\ScannedPhotos\1993\VN93-195.1.jpg")</f>
        <v>..\..\Imagery\ScannedPhotos\1993\VN93-195.1.jpg</v>
      </c>
    </row>
    <row r="4940" spans="1:14" x14ac:dyDescent="0.25">
      <c r="A4940" t="s">
        <v>2264</v>
      </c>
      <c r="B4940">
        <v>511599</v>
      </c>
      <c r="C4940">
        <v>5710570</v>
      </c>
      <c r="D4940">
        <v>21</v>
      </c>
      <c r="E4940" t="s">
        <v>15</v>
      </c>
      <c r="F4940" t="s">
        <v>11511</v>
      </c>
      <c r="G4940">
        <v>4</v>
      </c>
      <c r="H4940" t="s">
        <v>1338</v>
      </c>
      <c r="I4940" t="s">
        <v>41</v>
      </c>
      <c r="J4940" t="s">
        <v>570</v>
      </c>
      <c r="K4940" t="s">
        <v>20</v>
      </c>
      <c r="L4940" t="s">
        <v>3148</v>
      </c>
      <c r="M4940" s="3" t="str">
        <f>HYPERLINK("..\..\Imagery\ScannedPhotos\1993\VN93-195.2.jpg")</f>
        <v>..\..\Imagery\ScannedPhotos\1993\VN93-195.2.jpg</v>
      </c>
    </row>
    <row r="4941" spans="1:14" x14ac:dyDescent="0.25">
      <c r="A4941" t="s">
        <v>2264</v>
      </c>
      <c r="B4941">
        <v>511599</v>
      </c>
      <c r="C4941">
        <v>5710570</v>
      </c>
      <c r="D4941">
        <v>21</v>
      </c>
      <c r="E4941" t="s">
        <v>15</v>
      </c>
      <c r="F4941" t="s">
        <v>11512</v>
      </c>
      <c r="G4941">
        <v>4</v>
      </c>
      <c r="H4941" t="s">
        <v>1338</v>
      </c>
      <c r="I4941" t="s">
        <v>85</v>
      </c>
      <c r="J4941" t="s">
        <v>570</v>
      </c>
      <c r="K4941" t="s">
        <v>20</v>
      </c>
      <c r="L4941" t="s">
        <v>2266</v>
      </c>
      <c r="M4941" s="3" t="str">
        <f>HYPERLINK("..\..\Imagery\ScannedPhotos\1993\VN93-195.3.jpg")</f>
        <v>..\..\Imagery\ScannedPhotos\1993\VN93-195.3.jpg</v>
      </c>
    </row>
    <row r="4942" spans="1:14" x14ac:dyDescent="0.25">
      <c r="A4942" t="s">
        <v>11513</v>
      </c>
      <c r="B4942">
        <v>510738</v>
      </c>
      <c r="C4942">
        <v>5708837</v>
      </c>
      <c r="D4942">
        <v>21</v>
      </c>
      <c r="E4942" t="s">
        <v>15</v>
      </c>
      <c r="F4942" t="s">
        <v>11514</v>
      </c>
      <c r="G4942">
        <v>3</v>
      </c>
      <c r="H4942" t="s">
        <v>1338</v>
      </c>
      <c r="I4942" t="s">
        <v>94</v>
      </c>
      <c r="J4942" t="s">
        <v>570</v>
      </c>
      <c r="K4942" t="s">
        <v>20</v>
      </c>
      <c r="L4942" t="s">
        <v>11515</v>
      </c>
      <c r="M4942" s="3" t="str">
        <f>HYPERLINK("..\..\Imagery\ScannedPhotos\1993\VN93-198.1.jpg")</f>
        <v>..\..\Imagery\ScannedPhotos\1993\VN93-198.1.jpg</v>
      </c>
    </row>
    <row r="4943" spans="1:14" x14ac:dyDescent="0.25">
      <c r="A4943" t="s">
        <v>11513</v>
      </c>
      <c r="B4943">
        <v>510738</v>
      </c>
      <c r="C4943">
        <v>5708837</v>
      </c>
      <c r="D4943">
        <v>21</v>
      </c>
      <c r="E4943" t="s">
        <v>15</v>
      </c>
      <c r="F4943" t="s">
        <v>11516</v>
      </c>
      <c r="G4943">
        <v>3</v>
      </c>
      <c r="H4943" t="s">
        <v>1338</v>
      </c>
      <c r="I4943" t="s">
        <v>209</v>
      </c>
      <c r="J4943" t="s">
        <v>570</v>
      </c>
      <c r="K4943" t="s">
        <v>20</v>
      </c>
      <c r="L4943" t="s">
        <v>3148</v>
      </c>
      <c r="M4943" s="3" t="str">
        <f>HYPERLINK("..\..\Imagery\ScannedPhotos\1993\VN93-198.2.jpg")</f>
        <v>..\..\Imagery\ScannedPhotos\1993\VN93-198.2.jpg</v>
      </c>
    </row>
    <row r="4944" spans="1:14" x14ac:dyDescent="0.25">
      <c r="A4944" t="s">
        <v>11513</v>
      </c>
      <c r="B4944">
        <v>510738</v>
      </c>
      <c r="C4944">
        <v>5708837</v>
      </c>
      <c r="D4944">
        <v>21</v>
      </c>
      <c r="E4944" t="s">
        <v>15</v>
      </c>
      <c r="F4944" t="s">
        <v>11517</v>
      </c>
      <c r="G4944">
        <v>3</v>
      </c>
      <c r="H4944" t="s">
        <v>1338</v>
      </c>
      <c r="I4944" t="s">
        <v>386</v>
      </c>
      <c r="J4944" t="s">
        <v>570</v>
      </c>
      <c r="K4944" t="s">
        <v>20</v>
      </c>
      <c r="L4944" t="s">
        <v>11518</v>
      </c>
      <c r="M4944" s="3" t="str">
        <f>HYPERLINK("..\..\Imagery\ScannedPhotos\1993\VN93-198.3.jpg")</f>
        <v>..\..\Imagery\ScannedPhotos\1993\VN93-198.3.jpg</v>
      </c>
    </row>
    <row r="4945" spans="1:14" x14ac:dyDescent="0.25">
      <c r="A4945" t="s">
        <v>11519</v>
      </c>
      <c r="B4945">
        <v>501569</v>
      </c>
      <c r="C4945">
        <v>5744863</v>
      </c>
      <c r="D4945">
        <v>21</v>
      </c>
      <c r="E4945" t="s">
        <v>15</v>
      </c>
      <c r="F4945" t="s">
        <v>11520</v>
      </c>
      <c r="G4945">
        <v>1</v>
      </c>
      <c r="H4945" t="s">
        <v>1732</v>
      </c>
      <c r="I4945" t="s">
        <v>209</v>
      </c>
      <c r="J4945" t="s">
        <v>1733</v>
      </c>
      <c r="K4945" t="s">
        <v>56</v>
      </c>
      <c r="L4945" t="s">
        <v>9504</v>
      </c>
      <c r="M4945" s="3" t="str">
        <f>HYPERLINK("..\..\Imagery\ScannedPhotos\1993\CG93-508cropped.jpg")</f>
        <v>..\..\Imagery\ScannedPhotos\1993\CG93-508cropped.jpg</v>
      </c>
      <c r="N4945" t="s">
        <v>4297</v>
      </c>
    </row>
    <row r="4946" spans="1:14" x14ac:dyDescent="0.25">
      <c r="A4946" t="s">
        <v>11521</v>
      </c>
      <c r="B4946">
        <v>543775</v>
      </c>
      <c r="C4946">
        <v>5743380</v>
      </c>
      <c r="D4946">
        <v>21</v>
      </c>
      <c r="E4946" t="s">
        <v>15</v>
      </c>
      <c r="F4946" t="s">
        <v>11522</v>
      </c>
      <c r="G4946">
        <v>2</v>
      </c>
      <c r="H4946" t="s">
        <v>1732</v>
      </c>
      <c r="I4946" t="s">
        <v>30</v>
      </c>
      <c r="J4946" t="s">
        <v>1733</v>
      </c>
      <c r="K4946" t="s">
        <v>20</v>
      </c>
      <c r="L4946" t="s">
        <v>11523</v>
      </c>
      <c r="M4946" s="3" t="str">
        <f>HYPERLINK("..\..\Imagery\ScannedPhotos\1993\CG93-561.1cropped.jpg")</f>
        <v>..\..\Imagery\ScannedPhotos\1993\CG93-561.1cropped.jpg</v>
      </c>
      <c r="N4946" t="s">
        <v>4297</v>
      </c>
    </row>
    <row r="4947" spans="1:14" x14ac:dyDescent="0.25">
      <c r="A4947" t="s">
        <v>11521</v>
      </c>
      <c r="B4947">
        <v>543775</v>
      </c>
      <c r="C4947">
        <v>5743380</v>
      </c>
      <c r="D4947">
        <v>21</v>
      </c>
      <c r="E4947" t="s">
        <v>15</v>
      </c>
      <c r="F4947" t="s">
        <v>11524</v>
      </c>
      <c r="G4947">
        <v>2</v>
      </c>
      <c r="H4947" t="s">
        <v>1732</v>
      </c>
      <c r="I4947" t="s">
        <v>114</v>
      </c>
      <c r="J4947" t="s">
        <v>1733</v>
      </c>
      <c r="K4947" t="s">
        <v>56</v>
      </c>
      <c r="L4947" t="s">
        <v>11523</v>
      </c>
      <c r="M4947" s="3" t="str">
        <f>HYPERLINK("..\..\Imagery\ScannedPhotos\1993\CG93-561.2cropped.jpg")</f>
        <v>..\..\Imagery\ScannedPhotos\1993\CG93-561.2cropped.jpg</v>
      </c>
      <c r="N4947" t="s">
        <v>4297</v>
      </c>
    </row>
    <row r="4948" spans="1:14" x14ac:dyDescent="0.25">
      <c r="A4948" t="s">
        <v>1911</v>
      </c>
      <c r="B4948">
        <v>413177</v>
      </c>
      <c r="C4948">
        <v>5871511</v>
      </c>
      <c r="D4948">
        <v>21</v>
      </c>
      <c r="E4948" t="s">
        <v>15</v>
      </c>
      <c r="F4948" t="s">
        <v>11525</v>
      </c>
      <c r="G4948">
        <v>7</v>
      </c>
      <c r="H4948" t="s">
        <v>1913</v>
      </c>
      <c r="I4948" t="s">
        <v>386</v>
      </c>
      <c r="J4948" t="s">
        <v>771</v>
      </c>
      <c r="K4948" t="s">
        <v>228</v>
      </c>
      <c r="L4948" t="s">
        <v>1916</v>
      </c>
      <c r="M4948" s="3" t="str">
        <f>HYPERLINK("..\..\Imagery\ScannedPhotos\1997\CG97-066.3.jpg")</f>
        <v>..\..\Imagery\ScannedPhotos\1997\CG97-066.3.jpg</v>
      </c>
    </row>
    <row r="4949" spans="1:14" x14ac:dyDescent="0.25">
      <c r="A4949" t="s">
        <v>11526</v>
      </c>
      <c r="B4949">
        <v>481294</v>
      </c>
      <c r="C4949">
        <v>5814165</v>
      </c>
      <c r="D4949">
        <v>21</v>
      </c>
      <c r="E4949" t="s">
        <v>15</v>
      </c>
      <c r="F4949" t="s">
        <v>11527</v>
      </c>
      <c r="G4949">
        <v>1</v>
      </c>
      <c r="H4949" t="s">
        <v>2340</v>
      </c>
      <c r="I4949" t="s">
        <v>137</v>
      </c>
      <c r="J4949" t="s">
        <v>2341</v>
      </c>
      <c r="K4949" t="s">
        <v>56</v>
      </c>
      <c r="L4949" t="s">
        <v>11528</v>
      </c>
      <c r="M4949" s="3" t="str">
        <f>HYPERLINK("..\..\Imagery\ScannedPhotos\1992\HP92-011.jpg")</f>
        <v>..\..\Imagery\ScannedPhotos\1992\HP92-011.jpg</v>
      </c>
    </row>
    <row r="4950" spans="1:14" x14ac:dyDescent="0.25">
      <c r="A4950" t="s">
        <v>11529</v>
      </c>
      <c r="B4950">
        <v>358563</v>
      </c>
      <c r="C4950">
        <v>5840394</v>
      </c>
      <c r="D4950">
        <v>21</v>
      </c>
      <c r="E4950" t="s">
        <v>15</v>
      </c>
      <c r="F4950" t="s">
        <v>11530</v>
      </c>
      <c r="G4950">
        <v>3</v>
      </c>
      <c r="H4950" t="s">
        <v>5833</v>
      </c>
      <c r="I4950" t="s">
        <v>281</v>
      </c>
      <c r="J4950" t="s">
        <v>260</v>
      </c>
      <c r="K4950" t="s">
        <v>20</v>
      </c>
      <c r="L4950" t="s">
        <v>11531</v>
      </c>
      <c r="M4950" s="3" t="str">
        <f>HYPERLINK("..\..\Imagery\ScannedPhotos\1998\CG98-163.2.jpg")</f>
        <v>..\..\Imagery\ScannedPhotos\1998\CG98-163.2.jpg</v>
      </c>
    </row>
    <row r="4951" spans="1:14" x14ac:dyDescent="0.25">
      <c r="A4951" t="s">
        <v>11529</v>
      </c>
      <c r="B4951">
        <v>358563</v>
      </c>
      <c r="C4951">
        <v>5840394</v>
      </c>
      <c r="D4951">
        <v>21</v>
      </c>
      <c r="E4951" t="s">
        <v>15</v>
      </c>
      <c r="F4951" t="s">
        <v>11532</v>
      </c>
      <c r="G4951">
        <v>3</v>
      </c>
      <c r="H4951" t="s">
        <v>259</v>
      </c>
      <c r="I4951" t="s">
        <v>65</v>
      </c>
      <c r="J4951" t="s">
        <v>260</v>
      </c>
      <c r="K4951" t="s">
        <v>228</v>
      </c>
      <c r="L4951" t="s">
        <v>11533</v>
      </c>
      <c r="M4951" s="3" t="str">
        <f>HYPERLINK("..\..\Imagery\ScannedPhotos\1998\CG98-163.3.jpg")</f>
        <v>..\..\Imagery\ScannedPhotos\1998\CG98-163.3.jpg</v>
      </c>
    </row>
    <row r="4952" spans="1:14" x14ac:dyDescent="0.25">
      <c r="A4952" t="s">
        <v>11534</v>
      </c>
      <c r="B4952">
        <v>497825</v>
      </c>
      <c r="C4952">
        <v>5784960</v>
      </c>
      <c r="D4952">
        <v>21</v>
      </c>
      <c r="E4952" t="s">
        <v>15</v>
      </c>
      <c r="F4952" t="s">
        <v>11535</v>
      </c>
      <c r="G4952">
        <v>2</v>
      </c>
      <c r="H4952" t="s">
        <v>4076</v>
      </c>
      <c r="I4952" t="s">
        <v>386</v>
      </c>
      <c r="J4952" t="s">
        <v>905</v>
      </c>
      <c r="K4952" t="s">
        <v>56</v>
      </c>
      <c r="L4952" t="s">
        <v>11536</v>
      </c>
      <c r="M4952" s="3" t="str">
        <f>HYPERLINK("..\..\Imagery\ScannedPhotos\1992\VN92-181.1.jpg")</f>
        <v>..\..\Imagery\ScannedPhotos\1992\VN92-181.1.jpg</v>
      </c>
    </row>
    <row r="4953" spans="1:14" x14ac:dyDescent="0.25">
      <c r="A4953" t="s">
        <v>11537</v>
      </c>
      <c r="B4953">
        <v>449250</v>
      </c>
      <c r="C4953">
        <v>5773563</v>
      </c>
      <c r="D4953">
        <v>21</v>
      </c>
      <c r="E4953" t="s">
        <v>15</v>
      </c>
      <c r="F4953" t="s">
        <v>11538</v>
      </c>
      <c r="G4953">
        <v>2</v>
      </c>
      <c r="H4953" t="s">
        <v>4076</v>
      </c>
      <c r="I4953" t="s">
        <v>222</v>
      </c>
      <c r="J4953" t="s">
        <v>905</v>
      </c>
      <c r="K4953" t="s">
        <v>20</v>
      </c>
      <c r="L4953" t="s">
        <v>6163</v>
      </c>
      <c r="M4953" s="3" t="str">
        <f>HYPERLINK("..\..\Imagery\ScannedPhotos\1992\VN92-187.2.jpg")</f>
        <v>..\..\Imagery\ScannedPhotos\1992\VN92-187.2.jpg</v>
      </c>
    </row>
    <row r="4954" spans="1:14" x14ac:dyDescent="0.25">
      <c r="A4954" t="s">
        <v>11537</v>
      </c>
      <c r="B4954">
        <v>449250</v>
      </c>
      <c r="C4954">
        <v>5773563</v>
      </c>
      <c r="D4954">
        <v>21</v>
      </c>
      <c r="E4954" t="s">
        <v>15</v>
      </c>
      <c r="F4954" t="s">
        <v>11539</v>
      </c>
      <c r="G4954">
        <v>2</v>
      </c>
      <c r="H4954" t="s">
        <v>4076</v>
      </c>
      <c r="I4954" t="s">
        <v>214</v>
      </c>
      <c r="J4954" t="s">
        <v>905</v>
      </c>
      <c r="K4954" t="s">
        <v>20</v>
      </c>
      <c r="L4954" t="s">
        <v>6163</v>
      </c>
      <c r="M4954" s="3" t="str">
        <f>HYPERLINK("..\..\Imagery\ScannedPhotos\1992\VN92-187.1.jpg")</f>
        <v>..\..\Imagery\ScannedPhotos\1992\VN92-187.1.jpg</v>
      </c>
    </row>
    <row r="4955" spans="1:14" x14ac:dyDescent="0.25">
      <c r="A4955" t="s">
        <v>11540</v>
      </c>
      <c r="B4955">
        <v>448831</v>
      </c>
      <c r="C4955">
        <v>5773428</v>
      </c>
      <c r="D4955">
        <v>21</v>
      </c>
      <c r="E4955" t="s">
        <v>15</v>
      </c>
      <c r="F4955" t="s">
        <v>11541</v>
      </c>
      <c r="G4955">
        <v>1</v>
      </c>
      <c r="H4955" t="s">
        <v>4076</v>
      </c>
      <c r="I4955" t="s">
        <v>304</v>
      </c>
      <c r="J4955" t="s">
        <v>905</v>
      </c>
      <c r="K4955" t="s">
        <v>20</v>
      </c>
      <c r="L4955" t="s">
        <v>10066</v>
      </c>
      <c r="M4955" s="3" t="str">
        <f>HYPERLINK("..\..\Imagery\ScannedPhotos\1992\VN92-188.jpg")</f>
        <v>..\..\Imagery\ScannedPhotos\1992\VN92-188.jpg</v>
      </c>
    </row>
    <row r="4956" spans="1:14" x14ac:dyDescent="0.25">
      <c r="A4956" t="s">
        <v>11542</v>
      </c>
      <c r="B4956">
        <v>574309</v>
      </c>
      <c r="C4956">
        <v>5887744</v>
      </c>
      <c r="D4956">
        <v>21</v>
      </c>
      <c r="E4956" t="s">
        <v>15</v>
      </c>
      <c r="F4956" t="s">
        <v>11543</v>
      </c>
      <c r="G4956">
        <v>2</v>
      </c>
      <c r="H4956" t="s">
        <v>2412</v>
      </c>
      <c r="I4956" t="s">
        <v>47</v>
      </c>
      <c r="J4956" t="s">
        <v>1463</v>
      </c>
      <c r="K4956" t="s">
        <v>20</v>
      </c>
      <c r="L4956" t="s">
        <v>11544</v>
      </c>
      <c r="M4956" s="3" t="str">
        <f>HYPERLINK("..\..\Imagery\ScannedPhotos\1985\GM85-513.2.jpg")</f>
        <v>..\..\Imagery\ScannedPhotos\1985\GM85-513.2.jpg</v>
      </c>
    </row>
    <row r="4957" spans="1:14" x14ac:dyDescent="0.25">
      <c r="A4957" t="s">
        <v>11542</v>
      </c>
      <c r="B4957">
        <v>574309</v>
      </c>
      <c r="C4957">
        <v>5887744</v>
      </c>
      <c r="D4957">
        <v>21</v>
      </c>
      <c r="E4957" t="s">
        <v>15</v>
      </c>
      <c r="F4957" t="s">
        <v>11545</v>
      </c>
      <c r="G4957">
        <v>2</v>
      </c>
      <c r="H4957" t="s">
        <v>2412</v>
      </c>
      <c r="I4957" t="s">
        <v>147</v>
      </c>
      <c r="J4957" t="s">
        <v>1463</v>
      </c>
      <c r="K4957" t="s">
        <v>20</v>
      </c>
      <c r="L4957" t="s">
        <v>11544</v>
      </c>
      <c r="M4957" s="3" t="str">
        <f>HYPERLINK("..\..\Imagery\ScannedPhotos\1985\GM85-513.1.jpg")</f>
        <v>..\..\Imagery\ScannedPhotos\1985\GM85-513.1.jpg</v>
      </c>
    </row>
    <row r="4958" spans="1:14" x14ac:dyDescent="0.25">
      <c r="A4958" t="s">
        <v>11143</v>
      </c>
      <c r="B4958">
        <v>582271</v>
      </c>
      <c r="C4958">
        <v>5887364</v>
      </c>
      <c r="D4958">
        <v>21</v>
      </c>
      <c r="E4958" t="s">
        <v>15</v>
      </c>
      <c r="F4958" t="s">
        <v>11546</v>
      </c>
      <c r="G4958">
        <v>3</v>
      </c>
      <c r="H4958" t="s">
        <v>4870</v>
      </c>
      <c r="I4958" t="s">
        <v>35</v>
      </c>
      <c r="J4958" t="s">
        <v>138</v>
      </c>
      <c r="K4958" t="s">
        <v>20</v>
      </c>
      <c r="L4958" t="s">
        <v>11145</v>
      </c>
      <c r="M4958" s="3" t="str">
        <f>HYPERLINK("..\..\Imagery\ScannedPhotos\1985\GM85-515.1.jpg")</f>
        <v>..\..\Imagery\ScannedPhotos\1985\GM85-515.1.jpg</v>
      </c>
    </row>
    <row r="4959" spans="1:14" x14ac:dyDescent="0.25">
      <c r="A4959" t="s">
        <v>11547</v>
      </c>
      <c r="B4959">
        <v>410706</v>
      </c>
      <c r="C4959">
        <v>6010970</v>
      </c>
      <c r="D4959">
        <v>21</v>
      </c>
      <c r="E4959" t="s">
        <v>15</v>
      </c>
      <c r="F4959" t="s">
        <v>11548</v>
      </c>
      <c r="G4959">
        <v>1</v>
      </c>
      <c r="H4959" t="s">
        <v>2319</v>
      </c>
      <c r="I4959" t="s">
        <v>119</v>
      </c>
      <c r="J4959" t="s">
        <v>759</v>
      </c>
      <c r="K4959" t="s">
        <v>20</v>
      </c>
      <c r="L4959" t="s">
        <v>11549</v>
      </c>
      <c r="M4959" s="3" t="str">
        <f>HYPERLINK("..\..\Imagery\ScannedPhotos\1980\CG80-019.jpg")</f>
        <v>..\..\Imagery\ScannedPhotos\1980\CG80-019.jpg</v>
      </c>
    </row>
    <row r="4960" spans="1:14" x14ac:dyDescent="0.25">
      <c r="A4960" t="s">
        <v>11550</v>
      </c>
      <c r="B4960">
        <v>410362</v>
      </c>
      <c r="C4960">
        <v>6010929</v>
      </c>
      <c r="D4960">
        <v>21</v>
      </c>
      <c r="E4960" t="s">
        <v>15</v>
      </c>
      <c r="F4960" t="s">
        <v>11551</v>
      </c>
      <c r="G4960">
        <v>1</v>
      </c>
      <c r="H4960" t="s">
        <v>2319</v>
      </c>
      <c r="I4960" t="s">
        <v>122</v>
      </c>
      <c r="J4960" t="s">
        <v>759</v>
      </c>
      <c r="K4960" t="s">
        <v>20</v>
      </c>
      <c r="L4960" t="s">
        <v>11552</v>
      </c>
      <c r="M4960" s="3" t="str">
        <f>HYPERLINK("..\..\Imagery\ScannedPhotos\1980\CG80-020.jpg")</f>
        <v>..\..\Imagery\ScannedPhotos\1980\CG80-020.jpg</v>
      </c>
    </row>
    <row r="4961" spans="1:14" x14ac:dyDescent="0.25">
      <c r="A4961" t="s">
        <v>11553</v>
      </c>
      <c r="B4961">
        <v>564565</v>
      </c>
      <c r="C4961">
        <v>5747327</v>
      </c>
      <c r="D4961">
        <v>21</v>
      </c>
      <c r="E4961" t="s">
        <v>15</v>
      </c>
      <c r="F4961" t="s">
        <v>11554</v>
      </c>
      <c r="G4961">
        <v>3</v>
      </c>
      <c r="H4961" t="s">
        <v>6322</v>
      </c>
      <c r="I4961" t="s">
        <v>647</v>
      </c>
      <c r="J4961" t="s">
        <v>996</v>
      </c>
      <c r="K4961" t="s">
        <v>20</v>
      </c>
      <c r="L4961" t="s">
        <v>11555</v>
      </c>
      <c r="M4961" s="3" t="str">
        <f>HYPERLINK("..\..\Imagery\ScannedPhotos\1993\VN93-409.1.jpg")</f>
        <v>..\..\Imagery\ScannedPhotos\1993\VN93-409.1.jpg</v>
      </c>
    </row>
    <row r="4962" spans="1:14" x14ac:dyDescent="0.25">
      <c r="A4962" t="s">
        <v>11553</v>
      </c>
      <c r="B4962">
        <v>564565</v>
      </c>
      <c r="C4962">
        <v>5747327</v>
      </c>
      <c r="D4962">
        <v>21</v>
      </c>
      <c r="E4962" t="s">
        <v>15</v>
      </c>
      <c r="F4962" t="s">
        <v>11556</v>
      </c>
      <c r="G4962">
        <v>3</v>
      </c>
      <c r="H4962" t="s">
        <v>6322</v>
      </c>
      <c r="I4962" t="s">
        <v>30</v>
      </c>
      <c r="J4962" t="s">
        <v>996</v>
      </c>
      <c r="K4962" t="s">
        <v>56</v>
      </c>
      <c r="L4962" t="s">
        <v>11557</v>
      </c>
      <c r="M4962" s="3" t="str">
        <f>HYPERLINK("..\..\Imagery\ScannedPhotos\1993\VN93-409.2.jpg")</f>
        <v>..\..\Imagery\ScannedPhotos\1993\VN93-409.2.jpg</v>
      </c>
    </row>
    <row r="4963" spans="1:14" x14ac:dyDescent="0.25">
      <c r="A4963" t="s">
        <v>11553</v>
      </c>
      <c r="B4963">
        <v>564565</v>
      </c>
      <c r="C4963">
        <v>5747327</v>
      </c>
      <c r="D4963">
        <v>21</v>
      </c>
      <c r="E4963" t="s">
        <v>15</v>
      </c>
      <c r="F4963" t="s">
        <v>11558</v>
      </c>
      <c r="G4963">
        <v>3</v>
      </c>
      <c r="H4963" t="s">
        <v>6322</v>
      </c>
      <c r="I4963" t="s">
        <v>114</v>
      </c>
      <c r="J4963" t="s">
        <v>996</v>
      </c>
      <c r="K4963" t="s">
        <v>20</v>
      </c>
      <c r="L4963" t="s">
        <v>1236</v>
      </c>
      <c r="M4963" s="3" t="str">
        <f>HYPERLINK("..\..\Imagery\ScannedPhotos\1993\VN93-409.3.jpg")</f>
        <v>..\..\Imagery\ScannedPhotos\1993\VN93-409.3.jpg</v>
      </c>
    </row>
    <row r="4964" spans="1:14" x14ac:dyDescent="0.25">
      <c r="A4964" t="s">
        <v>11559</v>
      </c>
      <c r="B4964">
        <v>565020</v>
      </c>
      <c r="C4964">
        <v>5747650</v>
      </c>
      <c r="D4964">
        <v>21</v>
      </c>
      <c r="E4964" t="s">
        <v>15</v>
      </c>
      <c r="F4964" t="s">
        <v>11560</v>
      </c>
      <c r="G4964">
        <v>1</v>
      </c>
      <c r="H4964" t="s">
        <v>6322</v>
      </c>
      <c r="I4964" t="s">
        <v>119</v>
      </c>
      <c r="J4964" t="s">
        <v>996</v>
      </c>
      <c r="K4964" t="s">
        <v>20</v>
      </c>
      <c r="L4964" t="s">
        <v>11561</v>
      </c>
      <c r="M4964" s="3" t="str">
        <f>HYPERLINK("..\..\Imagery\ScannedPhotos\1993\VN93-410.jpg")</f>
        <v>..\..\Imagery\ScannedPhotos\1993\VN93-410.jpg</v>
      </c>
    </row>
    <row r="4965" spans="1:14" x14ac:dyDescent="0.25">
      <c r="A4965" t="s">
        <v>11562</v>
      </c>
      <c r="B4965">
        <v>490650</v>
      </c>
      <c r="C4965">
        <v>5831550</v>
      </c>
      <c r="D4965">
        <v>21</v>
      </c>
      <c r="E4965" t="s">
        <v>15</v>
      </c>
      <c r="F4965" t="s">
        <v>11563</v>
      </c>
      <c r="G4965">
        <v>1</v>
      </c>
      <c r="H4965" t="s">
        <v>849</v>
      </c>
      <c r="I4965" t="s">
        <v>147</v>
      </c>
      <c r="J4965" t="s">
        <v>850</v>
      </c>
      <c r="K4965" t="s">
        <v>20</v>
      </c>
      <c r="L4965" t="s">
        <v>11564</v>
      </c>
      <c r="M4965" s="3" t="str">
        <f>HYPERLINK("..\..\Imagery\ScannedPhotos\1991\VN91-219.jpg")</f>
        <v>..\..\Imagery\ScannedPhotos\1991\VN91-219.jpg</v>
      </c>
    </row>
    <row r="4966" spans="1:14" x14ac:dyDescent="0.25">
      <c r="A4966" t="s">
        <v>11565</v>
      </c>
      <c r="B4966">
        <v>490829</v>
      </c>
      <c r="C4966">
        <v>5831768</v>
      </c>
      <c r="D4966">
        <v>21</v>
      </c>
      <c r="E4966" t="s">
        <v>15</v>
      </c>
      <c r="F4966" t="s">
        <v>11566</v>
      </c>
      <c r="G4966">
        <v>2</v>
      </c>
      <c r="H4966" t="s">
        <v>849</v>
      </c>
      <c r="I4966" t="s">
        <v>52</v>
      </c>
      <c r="J4966" t="s">
        <v>850</v>
      </c>
      <c r="K4966" t="s">
        <v>20</v>
      </c>
      <c r="L4966" t="s">
        <v>11567</v>
      </c>
      <c r="M4966" s="3" t="str">
        <f>HYPERLINK("..\..\Imagery\ScannedPhotos\1991\VN91-220.2.jpg")</f>
        <v>..\..\Imagery\ScannedPhotos\1991\VN91-220.2.jpg</v>
      </c>
    </row>
    <row r="4967" spans="1:14" x14ac:dyDescent="0.25">
      <c r="A4967" t="s">
        <v>11565</v>
      </c>
      <c r="B4967">
        <v>490829</v>
      </c>
      <c r="C4967">
        <v>5831768</v>
      </c>
      <c r="D4967">
        <v>21</v>
      </c>
      <c r="E4967" t="s">
        <v>15</v>
      </c>
      <c r="F4967" t="s">
        <v>11568</v>
      </c>
      <c r="G4967">
        <v>2</v>
      </c>
      <c r="H4967" t="s">
        <v>849</v>
      </c>
      <c r="I4967" t="s">
        <v>47</v>
      </c>
      <c r="J4967" t="s">
        <v>850</v>
      </c>
      <c r="K4967" t="s">
        <v>20</v>
      </c>
      <c r="L4967" t="s">
        <v>11569</v>
      </c>
      <c r="M4967" s="3" t="str">
        <f>HYPERLINK("..\..\Imagery\ScannedPhotos\1991\VN91-220.1.jpg")</f>
        <v>..\..\Imagery\ScannedPhotos\1991\VN91-220.1.jpg</v>
      </c>
    </row>
    <row r="4968" spans="1:14" x14ac:dyDescent="0.25">
      <c r="A4968" t="s">
        <v>11570</v>
      </c>
      <c r="B4968">
        <v>580506</v>
      </c>
      <c r="C4968">
        <v>5866452</v>
      </c>
      <c r="D4968">
        <v>21</v>
      </c>
      <c r="E4968" t="s">
        <v>15</v>
      </c>
      <c r="F4968" t="s">
        <v>11571</v>
      </c>
      <c r="G4968">
        <v>1</v>
      </c>
      <c r="H4968" t="s">
        <v>2733</v>
      </c>
      <c r="I4968" t="s">
        <v>418</v>
      </c>
      <c r="J4968" t="s">
        <v>814</v>
      </c>
      <c r="K4968" t="s">
        <v>228</v>
      </c>
      <c r="L4968" t="s">
        <v>11572</v>
      </c>
      <c r="M4968" s="3" t="str">
        <f>HYPERLINK("..\..\Imagery\ScannedPhotos\1986\MN86-344E.jpg")</f>
        <v>..\..\Imagery\ScannedPhotos\1986\MN86-344E.jpg</v>
      </c>
      <c r="N4968" t="s">
        <v>1808</v>
      </c>
    </row>
    <row r="4969" spans="1:14" x14ac:dyDescent="0.25">
      <c r="A4969" t="s">
        <v>5166</v>
      </c>
      <c r="B4969">
        <v>577384</v>
      </c>
      <c r="C4969">
        <v>5854459</v>
      </c>
      <c r="D4969">
        <v>21</v>
      </c>
      <c r="E4969" t="s">
        <v>15</v>
      </c>
      <c r="F4969" t="s">
        <v>11573</v>
      </c>
      <c r="G4969">
        <v>2</v>
      </c>
      <c r="H4969" t="s">
        <v>99</v>
      </c>
      <c r="I4969" t="s">
        <v>222</v>
      </c>
      <c r="J4969" t="s">
        <v>100</v>
      </c>
      <c r="K4969" t="s">
        <v>20</v>
      </c>
      <c r="L4969" t="s">
        <v>1228</v>
      </c>
      <c r="M4969" s="3" t="str">
        <f>HYPERLINK("..\..\Imagery\ScannedPhotos\1986\MN86-368.2cropped.jpg")</f>
        <v>..\..\Imagery\ScannedPhotos\1986\MN86-368.2cropped.jpg</v>
      </c>
      <c r="N4969" t="s">
        <v>4297</v>
      </c>
    </row>
    <row r="4970" spans="1:14" x14ac:dyDescent="0.25">
      <c r="A4970" t="s">
        <v>11574</v>
      </c>
      <c r="B4970">
        <v>574830</v>
      </c>
      <c r="C4970">
        <v>5854030</v>
      </c>
      <c r="D4970">
        <v>21</v>
      </c>
      <c r="E4970" t="s">
        <v>15</v>
      </c>
      <c r="F4970" t="s">
        <v>11575</v>
      </c>
      <c r="G4970">
        <v>1</v>
      </c>
      <c r="H4970" t="s">
        <v>99</v>
      </c>
      <c r="I4970" t="s">
        <v>25</v>
      </c>
      <c r="J4970" t="s">
        <v>100</v>
      </c>
      <c r="K4970" t="s">
        <v>20</v>
      </c>
      <c r="L4970" t="s">
        <v>11576</v>
      </c>
      <c r="M4970" s="3" t="str">
        <f>HYPERLINK("..\..\Imagery\ScannedPhotos\1986\MN86-378E.jpg")</f>
        <v>..\..\Imagery\ScannedPhotos\1986\MN86-378E.jpg</v>
      </c>
      <c r="N4970" t="s">
        <v>1808</v>
      </c>
    </row>
    <row r="4971" spans="1:14" x14ac:dyDescent="0.25">
      <c r="A4971" t="s">
        <v>11577</v>
      </c>
      <c r="B4971">
        <v>583162</v>
      </c>
      <c r="C4971">
        <v>5824667</v>
      </c>
      <c r="D4971">
        <v>21</v>
      </c>
      <c r="E4971" t="s">
        <v>15</v>
      </c>
      <c r="F4971" t="s">
        <v>11578</v>
      </c>
      <c r="G4971">
        <v>2</v>
      </c>
      <c r="H4971" t="s">
        <v>99</v>
      </c>
      <c r="I4971" t="s">
        <v>52</v>
      </c>
      <c r="J4971" t="s">
        <v>100</v>
      </c>
      <c r="K4971" t="s">
        <v>20</v>
      </c>
      <c r="L4971" t="s">
        <v>11579</v>
      </c>
      <c r="M4971" s="3" t="str">
        <f>HYPERLINK("..\..\Imagery\ScannedPhotos\1986\MN86-429.2cropped.jpg")</f>
        <v>..\..\Imagery\ScannedPhotos\1986\MN86-429.2cropped.jpg</v>
      </c>
      <c r="N4971" t="s">
        <v>4297</v>
      </c>
    </row>
    <row r="4972" spans="1:14" x14ac:dyDescent="0.25">
      <c r="A4972" t="s">
        <v>11580</v>
      </c>
      <c r="B4972">
        <v>538080</v>
      </c>
      <c r="C4972">
        <v>5857186</v>
      </c>
      <c r="D4972">
        <v>21</v>
      </c>
      <c r="E4972" t="s">
        <v>15</v>
      </c>
      <c r="F4972" t="s">
        <v>11581</v>
      </c>
      <c r="G4972">
        <v>1</v>
      </c>
      <c r="H4972" t="s">
        <v>2018</v>
      </c>
      <c r="I4972" t="s">
        <v>119</v>
      </c>
      <c r="J4972" t="s">
        <v>2019</v>
      </c>
      <c r="K4972" t="s">
        <v>20</v>
      </c>
      <c r="L4972" t="s">
        <v>11582</v>
      </c>
      <c r="M4972" s="3" t="str">
        <f>HYPERLINK("..\..\Imagery\ScannedPhotos\1986\SN86-092E.jpg")</f>
        <v>..\..\Imagery\ScannedPhotos\1986\SN86-092E.jpg</v>
      </c>
      <c r="N4972" t="s">
        <v>1808</v>
      </c>
    </row>
    <row r="4973" spans="1:14" x14ac:dyDescent="0.25">
      <c r="A4973" t="s">
        <v>11583</v>
      </c>
      <c r="B4973">
        <v>550111</v>
      </c>
      <c r="C4973">
        <v>5863924</v>
      </c>
      <c r="D4973">
        <v>21</v>
      </c>
      <c r="E4973" t="s">
        <v>15</v>
      </c>
      <c r="F4973" t="s">
        <v>11584</v>
      </c>
      <c r="G4973">
        <v>1</v>
      </c>
      <c r="H4973" t="s">
        <v>2018</v>
      </c>
      <c r="I4973" t="s">
        <v>132</v>
      </c>
      <c r="J4973" t="s">
        <v>2019</v>
      </c>
      <c r="K4973" t="s">
        <v>20</v>
      </c>
      <c r="L4973" t="s">
        <v>11585</v>
      </c>
      <c r="M4973" s="3" t="str">
        <f>HYPERLINK("..\..\Imagery\ScannedPhotos\1986\SN86-105cropped.jpg")</f>
        <v>..\..\Imagery\ScannedPhotos\1986\SN86-105cropped.jpg</v>
      </c>
      <c r="N4973" t="s">
        <v>4297</v>
      </c>
    </row>
    <row r="4974" spans="1:14" x14ac:dyDescent="0.25">
      <c r="A4974" t="s">
        <v>3520</v>
      </c>
      <c r="B4974">
        <v>545842</v>
      </c>
      <c r="C4974">
        <v>5857545</v>
      </c>
      <c r="D4974">
        <v>21</v>
      </c>
      <c r="E4974" t="s">
        <v>15</v>
      </c>
      <c r="F4974" t="s">
        <v>11586</v>
      </c>
      <c r="G4974">
        <v>2</v>
      </c>
      <c r="H4974" t="s">
        <v>68</v>
      </c>
      <c r="I4974" t="s">
        <v>85</v>
      </c>
      <c r="J4974" t="s">
        <v>70</v>
      </c>
      <c r="K4974" t="s">
        <v>20</v>
      </c>
      <c r="L4974" t="s">
        <v>3522</v>
      </c>
      <c r="M4974" s="3" t="str">
        <f>HYPERLINK("..\..\Imagery\ScannedPhotos\1986\SN86-154.2cropped.jpg")</f>
        <v>..\..\Imagery\ScannedPhotos\1986\SN86-154.2cropped.jpg</v>
      </c>
      <c r="N4974" t="s">
        <v>4297</v>
      </c>
    </row>
    <row r="4975" spans="1:14" x14ac:dyDescent="0.25">
      <c r="A4975" t="s">
        <v>1569</v>
      </c>
      <c r="B4975">
        <v>485917</v>
      </c>
      <c r="C4975">
        <v>5842883</v>
      </c>
      <c r="D4975">
        <v>21</v>
      </c>
      <c r="E4975" t="s">
        <v>15</v>
      </c>
      <c r="F4975" t="s">
        <v>11587</v>
      </c>
      <c r="G4975">
        <v>3</v>
      </c>
      <c r="H4975" t="s">
        <v>1128</v>
      </c>
      <c r="I4975" t="s">
        <v>126</v>
      </c>
      <c r="J4975" t="s">
        <v>1129</v>
      </c>
      <c r="K4975" t="s">
        <v>20</v>
      </c>
      <c r="L4975" t="s">
        <v>11588</v>
      </c>
      <c r="M4975" s="3" t="str">
        <f>HYPERLINK("..\..\Imagery\ScannedPhotos\1991\VN91-114.2.jpg")</f>
        <v>..\..\Imagery\ScannedPhotos\1991\VN91-114.2.jpg</v>
      </c>
    </row>
    <row r="4976" spans="1:14" x14ac:dyDescent="0.25">
      <c r="A4976" t="s">
        <v>11589</v>
      </c>
      <c r="B4976">
        <v>506352</v>
      </c>
      <c r="C4976">
        <v>5967492</v>
      </c>
      <c r="D4976">
        <v>21</v>
      </c>
      <c r="E4976" t="s">
        <v>15</v>
      </c>
      <c r="F4976" t="s">
        <v>11590</v>
      </c>
      <c r="G4976">
        <v>2</v>
      </c>
      <c r="H4976" t="s">
        <v>1197</v>
      </c>
      <c r="I4976" t="s">
        <v>35</v>
      </c>
      <c r="J4976" t="s">
        <v>48</v>
      </c>
      <c r="K4976" t="s">
        <v>20</v>
      </c>
      <c r="L4976" t="s">
        <v>11591</v>
      </c>
      <c r="M4976" s="3" t="str">
        <f>HYPERLINK("..\..\Imagery\ScannedPhotos\1981\CG81-744.1.jpg")</f>
        <v>..\..\Imagery\ScannedPhotos\1981\CG81-744.1.jpg</v>
      </c>
    </row>
    <row r="4977" spans="1:14" x14ac:dyDescent="0.25">
      <c r="A4977" t="s">
        <v>11592</v>
      </c>
      <c r="B4977">
        <v>507048</v>
      </c>
      <c r="C4977">
        <v>5967951</v>
      </c>
      <c r="D4977">
        <v>21</v>
      </c>
      <c r="E4977" t="s">
        <v>15</v>
      </c>
      <c r="F4977" t="s">
        <v>11593</v>
      </c>
      <c r="G4977">
        <v>1</v>
      </c>
      <c r="H4977" t="s">
        <v>1197</v>
      </c>
      <c r="I4977" t="s">
        <v>74</v>
      </c>
      <c r="J4977" t="s">
        <v>48</v>
      </c>
      <c r="K4977" t="s">
        <v>20</v>
      </c>
      <c r="L4977" t="s">
        <v>11591</v>
      </c>
      <c r="M4977" s="3" t="str">
        <f>HYPERLINK("..\..\Imagery\ScannedPhotos\1981\CG81-745.jpg")</f>
        <v>..\..\Imagery\ScannedPhotos\1981\CG81-745.jpg</v>
      </c>
    </row>
    <row r="4978" spans="1:14" x14ac:dyDescent="0.25">
      <c r="A4978" t="s">
        <v>11594</v>
      </c>
      <c r="B4978">
        <v>504559</v>
      </c>
      <c r="C4978">
        <v>5965578</v>
      </c>
      <c r="D4978">
        <v>21</v>
      </c>
      <c r="E4978" t="s">
        <v>15</v>
      </c>
      <c r="F4978" t="s">
        <v>11595</v>
      </c>
      <c r="G4978">
        <v>1</v>
      </c>
      <c r="H4978" t="s">
        <v>1197</v>
      </c>
      <c r="I4978" t="s">
        <v>41</v>
      </c>
      <c r="J4978" t="s">
        <v>48</v>
      </c>
      <c r="K4978" t="s">
        <v>56</v>
      </c>
      <c r="L4978" t="s">
        <v>11596</v>
      </c>
      <c r="M4978" s="3" t="str">
        <f>HYPERLINK("..\..\Imagery\ScannedPhotos\1981\CG81-747.jpg")</f>
        <v>..\..\Imagery\ScannedPhotos\1981\CG81-747.jpg</v>
      </c>
    </row>
    <row r="4979" spans="1:14" x14ac:dyDescent="0.25">
      <c r="A4979" t="s">
        <v>6086</v>
      </c>
      <c r="B4979">
        <v>501295</v>
      </c>
      <c r="C4979">
        <v>5965616</v>
      </c>
      <c r="D4979">
        <v>21</v>
      </c>
      <c r="E4979" t="s">
        <v>15</v>
      </c>
      <c r="F4979" t="s">
        <v>11597</v>
      </c>
      <c r="G4979">
        <v>3</v>
      </c>
      <c r="H4979" t="s">
        <v>1197</v>
      </c>
      <c r="I4979" t="s">
        <v>85</v>
      </c>
      <c r="J4979" t="s">
        <v>48</v>
      </c>
      <c r="K4979" t="s">
        <v>20</v>
      </c>
      <c r="L4979" t="s">
        <v>6088</v>
      </c>
      <c r="M4979" s="3" t="str">
        <f>HYPERLINK("..\..\Imagery\ScannedPhotos\1981\CG81-748.1.jpg")</f>
        <v>..\..\Imagery\ScannedPhotos\1981\CG81-748.1.jpg</v>
      </c>
    </row>
    <row r="4980" spans="1:14" x14ac:dyDescent="0.25">
      <c r="A4980" t="s">
        <v>11598</v>
      </c>
      <c r="B4980">
        <v>448682</v>
      </c>
      <c r="C4980">
        <v>5887692</v>
      </c>
      <c r="D4980">
        <v>21</v>
      </c>
      <c r="E4980" t="s">
        <v>15</v>
      </c>
      <c r="F4980" t="s">
        <v>11599</v>
      </c>
      <c r="G4980">
        <v>1</v>
      </c>
      <c r="H4980" t="s">
        <v>60</v>
      </c>
      <c r="I4980" t="s">
        <v>222</v>
      </c>
      <c r="J4980" t="s">
        <v>61</v>
      </c>
      <c r="K4980" t="s">
        <v>20</v>
      </c>
      <c r="L4980" t="s">
        <v>1020</v>
      </c>
      <c r="M4980" s="3" t="str">
        <f>HYPERLINK("..\..\Imagery\ScannedPhotos\1984\CG84-201.jpg")</f>
        <v>..\..\Imagery\ScannedPhotos\1984\CG84-201.jpg</v>
      </c>
    </row>
    <row r="4981" spans="1:14" x14ac:dyDescent="0.25">
      <c r="A4981" t="s">
        <v>11600</v>
      </c>
      <c r="B4981">
        <v>580896</v>
      </c>
      <c r="C4981">
        <v>5863938</v>
      </c>
      <c r="D4981">
        <v>21</v>
      </c>
      <c r="E4981" t="s">
        <v>15</v>
      </c>
      <c r="F4981" t="s">
        <v>11601</v>
      </c>
      <c r="G4981">
        <v>1</v>
      </c>
      <c r="H4981" t="s">
        <v>7534</v>
      </c>
      <c r="I4981" t="s">
        <v>52</v>
      </c>
      <c r="J4981" t="s">
        <v>1233</v>
      </c>
      <c r="K4981" t="s">
        <v>20</v>
      </c>
      <c r="L4981" t="s">
        <v>11602</v>
      </c>
      <c r="M4981" s="3" t="str">
        <f>HYPERLINK("..\..\Imagery\ScannedPhotos\1986\CG86-443.1.jpg")</f>
        <v>..\..\Imagery\ScannedPhotos\1986\CG86-443.1.jpg</v>
      </c>
    </row>
    <row r="4982" spans="1:14" x14ac:dyDescent="0.25">
      <c r="A4982" t="s">
        <v>3865</v>
      </c>
      <c r="B4982">
        <v>405430</v>
      </c>
      <c r="C4982">
        <v>5997289</v>
      </c>
      <c r="D4982">
        <v>21</v>
      </c>
      <c r="E4982" t="s">
        <v>15</v>
      </c>
      <c r="F4982" t="s">
        <v>11603</v>
      </c>
      <c r="G4982">
        <v>2</v>
      </c>
      <c r="H4982" t="s">
        <v>1156</v>
      </c>
      <c r="I4982" t="s">
        <v>304</v>
      </c>
      <c r="J4982" t="s">
        <v>95</v>
      </c>
      <c r="K4982" t="s">
        <v>228</v>
      </c>
      <c r="L4982" t="s">
        <v>11604</v>
      </c>
      <c r="M4982" s="3" t="str">
        <f>HYPERLINK("..\..\Imagery\ScannedPhotos\1980\CG80-133.2E.jpg")</f>
        <v>..\..\Imagery\ScannedPhotos\1980\CG80-133.2E.jpg</v>
      </c>
      <c r="N4982" t="s">
        <v>1808</v>
      </c>
    </row>
    <row r="4983" spans="1:14" x14ac:dyDescent="0.25">
      <c r="A4983" t="s">
        <v>1154</v>
      </c>
      <c r="B4983">
        <v>410246</v>
      </c>
      <c r="C4983">
        <v>5994976</v>
      </c>
      <c r="D4983">
        <v>21</v>
      </c>
      <c r="E4983" t="s">
        <v>15</v>
      </c>
      <c r="F4983" t="s">
        <v>11605</v>
      </c>
      <c r="G4983">
        <v>2</v>
      </c>
      <c r="H4983" t="s">
        <v>1156</v>
      </c>
      <c r="I4983" t="s">
        <v>132</v>
      </c>
      <c r="J4983" t="s">
        <v>95</v>
      </c>
      <c r="K4983" t="s">
        <v>20</v>
      </c>
      <c r="L4983" t="s">
        <v>2996</v>
      </c>
      <c r="M4983" s="3" t="str">
        <f>HYPERLINK("..\..\Imagery\ScannedPhotos\1980\CG80-154.1cropped.jpg")</f>
        <v>..\..\Imagery\ScannedPhotos\1980\CG80-154.1cropped.jpg</v>
      </c>
      <c r="N4983" t="s">
        <v>4297</v>
      </c>
    </row>
    <row r="4984" spans="1:14" x14ac:dyDescent="0.25">
      <c r="A4984" t="s">
        <v>3005</v>
      </c>
      <c r="B4984">
        <v>410078</v>
      </c>
      <c r="C4984">
        <v>5994870</v>
      </c>
      <c r="D4984">
        <v>21</v>
      </c>
      <c r="E4984" t="s">
        <v>15</v>
      </c>
      <c r="F4984" t="s">
        <v>11606</v>
      </c>
      <c r="G4984">
        <v>2</v>
      </c>
      <c r="H4984" t="s">
        <v>1156</v>
      </c>
      <c r="I4984" t="s">
        <v>147</v>
      </c>
      <c r="J4984" t="s">
        <v>95</v>
      </c>
      <c r="K4984" t="s">
        <v>20</v>
      </c>
      <c r="L4984" t="s">
        <v>11607</v>
      </c>
      <c r="M4984" s="3" t="str">
        <f>HYPERLINK("..\..\Imagery\ScannedPhotos\1980\CG80-155.2E.jpg")</f>
        <v>..\..\Imagery\ScannedPhotos\1980\CG80-155.2E.jpg</v>
      </c>
      <c r="N4984" t="s">
        <v>1808</v>
      </c>
    </row>
    <row r="4985" spans="1:14" x14ac:dyDescent="0.25">
      <c r="A4985" t="s">
        <v>11608</v>
      </c>
      <c r="B4985">
        <v>409888</v>
      </c>
      <c r="C4985">
        <v>5994739</v>
      </c>
      <c r="D4985">
        <v>21</v>
      </c>
      <c r="E4985" t="s">
        <v>15</v>
      </c>
      <c r="F4985" t="s">
        <v>11609</v>
      </c>
      <c r="G4985">
        <v>5</v>
      </c>
      <c r="H4985" t="s">
        <v>1156</v>
      </c>
      <c r="I4985" t="s">
        <v>47</v>
      </c>
      <c r="J4985" t="s">
        <v>95</v>
      </c>
      <c r="K4985" t="s">
        <v>20</v>
      </c>
      <c r="L4985" t="s">
        <v>11607</v>
      </c>
      <c r="M4985" s="3" t="str">
        <f>HYPERLINK("..\..\Imagery\ScannedPhotos\1980\CG80-156.1E.jpg")</f>
        <v>..\..\Imagery\ScannedPhotos\1980\CG80-156.1E.jpg</v>
      </c>
      <c r="N4985" t="s">
        <v>1808</v>
      </c>
    </row>
    <row r="4986" spans="1:14" x14ac:dyDescent="0.25">
      <c r="A4986" t="s">
        <v>11608</v>
      </c>
      <c r="B4986">
        <v>409888</v>
      </c>
      <c r="C4986">
        <v>5994739</v>
      </c>
      <c r="D4986">
        <v>21</v>
      </c>
      <c r="E4986" t="s">
        <v>15</v>
      </c>
      <c r="F4986" t="s">
        <v>11610</v>
      </c>
      <c r="G4986">
        <v>5</v>
      </c>
      <c r="H4986" t="s">
        <v>1156</v>
      </c>
      <c r="I4986" t="s">
        <v>52</v>
      </c>
      <c r="J4986" t="s">
        <v>95</v>
      </c>
      <c r="K4986" t="s">
        <v>20</v>
      </c>
      <c r="L4986" t="s">
        <v>11607</v>
      </c>
      <c r="M4986" s="3" t="str">
        <f>HYPERLINK("..\..\Imagery\ScannedPhotos\1980\CG80-156.2E.jpg")</f>
        <v>..\..\Imagery\ScannedPhotos\1980\CG80-156.2E.jpg</v>
      </c>
      <c r="N4986" t="s">
        <v>1808</v>
      </c>
    </row>
    <row r="4987" spans="1:14" x14ac:dyDescent="0.25">
      <c r="A4987" t="s">
        <v>11608</v>
      </c>
      <c r="B4987">
        <v>409888</v>
      </c>
      <c r="C4987">
        <v>5994739</v>
      </c>
      <c r="D4987">
        <v>21</v>
      </c>
      <c r="E4987" t="s">
        <v>15</v>
      </c>
      <c r="F4987" t="s">
        <v>11611</v>
      </c>
      <c r="G4987">
        <v>5</v>
      </c>
      <c r="H4987" t="s">
        <v>1156</v>
      </c>
      <c r="I4987" t="s">
        <v>65</v>
      </c>
      <c r="J4987" t="s">
        <v>95</v>
      </c>
      <c r="K4987" t="s">
        <v>20</v>
      </c>
      <c r="L4987" t="s">
        <v>11607</v>
      </c>
      <c r="M4987" s="3" t="str">
        <f>HYPERLINK("..\..\Imagery\ScannedPhotos\1980\CG80-156.3E.jpg")</f>
        <v>..\..\Imagery\ScannedPhotos\1980\CG80-156.3E.jpg</v>
      </c>
      <c r="N4987" t="s">
        <v>1808</v>
      </c>
    </row>
    <row r="4988" spans="1:14" x14ac:dyDescent="0.25">
      <c r="A4988" t="s">
        <v>11608</v>
      </c>
      <c r="B4988">
        <v>409888</v>
      </c>
      <c r="C4988">
        <v>5994739</v>
      </c>
      <c r="D4988">
        <v>21</v>
      </c>
      <c r="E4988" t="s">
        <v>15</v>
      </c>
      <c r="F4988" t="s">
        <v>11612</v>
      </c>
      <c r="G4988">
        <v>5</v>
      </c>
      <c r="H4988" t="s">
        <v>1156</v>
      </c>
      <c r="I4988" t="s">
        <v>401</v>
      </c>
      <c r="J4988" t="s">
        <v>95</v>
      </c>
      <c r="K4988" t="s">
        <v>20</v>
      </c>
      <c r="L4988" t="s">
        <v>11607</v>
      </c>
      <c r="M4988" s="3" t="str">
        <f>HYPERLINK("..\..\Imagery\ScannedPhotos\1980\CG80-156.4cropped.jpg")</f>
        <v>..\..\Imagery\ScannedPhotos\1980\CG80-156.4cropped.jpg</v>
      </c>
      <c r="N4988" t="s">
        <v>4297</v>
      </c>
    </row>
    <row r="4989" spans="1:14" x14ac:dyDescent="0.25">
      <c r="A4989" t="s">
        <v>11608</v>
      </c>
      <c r="B4989">
        <v>409888</v>
      </c>
      <c r="C4989">
        <v>5994739</v>
      </c>
      <c r="D4989">
        <v>21</v>
      </c>
      <c r="E4989" t="s">
        <v>15</v>
      </c>
      <c r="F4989" t="s">
        <v>11613</v>
      </c>
      <c r="G4989">
        <v>5</v>
      </c>
      <c r="H4989" t="s">
        <v>1156</v>
      </c>
      <c r="I4989" t="s">
        <v>409</v>
      </c>
      <c r="J4989" t="s">
        <v>95</v>
      </c>
      <c r="K4989" t="s">
        <v>20</v>
      </c>
      <c r="L4989" t="s">
        <v>11607</v>
      </c>
      <c r="M4989" s="3" t="str">
        <f>HYPERLINK("..\..\Imagery\ScannedPhotos\1980\CG80-156.5E.jpg")</f>
        <v>..\..\Imagery\ScannedPhotos\1980\CG80-156.5E.jpg</v>
      </c>
      <c r="N4989" t="s">
        <v>1808</v>
      </c>
    </row>
    <row r="4990" spans="1:14" x14ac:dyDescent="0.25">
      <c r="A4990" t="s">
        <v>11614</v>
      </c>
      <c r="B4990">
        <v>408689</v>
      </c>
      <c r="C4990">
        <v>5994661</v>
      </c>
      <c r="D4990">
        <v>21</v>
      </c>
      <c r="E4990" t="s">
        <v>15</v>
      </c>
      <c r="F4990" t="s">
        <v>11615</v>
      </c>
      <c r="G4990">
        <v>1</v>
      </c>
      <c r="H4990" t="s">
        <v>1133</v>
      </c>
      <c r="I4990" t="s">
        <v>294</v>
      </c>
      <c r="J4990" t="s">
        <v>623</v>
      </c>
      <c r="K4990" t="s">
        <v>20</v>
      </c>
      <c r="L4990" t="s">
        <v>11616</v>
      </c>
      <c r="M4990" s="3" t="str">
        <f>HYPERLINK("..\..\Imagery\ScannedPhotos\1980\CG80-161E.jpg")</f>
        <v>..\..\Imagery\ScannedPhotos\1980\CG80-161E.jpg</v>
      </c>
      <c r="N4990" t="s">
        <v>1808</v>
      </c>
    </row>
    <row r="4991" spans="1:14" x14ac:dyDescent="0.25">
      <c r="A4991" t="s">
        <v>11617</v>
      </c>
      <c r="B4991">
        <v>408777</v>
      </c>
      <c r="C4991">
        <v>5994157</v>
      </c>
      <c r="D4991">
        <v>21</v>
      </c>
      <c r="E4991" t="s">
        <v>15</v>
      </c>
      <c r="F4991" t="s">
        <v>11618</v>
      </c>
      <c r="G4991">
        <v>1</v>
      </c>
      <c r="H4991" t="s">
        <v>1133</v>
      </c>
      <c r="I4991" t="s">
        <v>79</v>
      </c>
      <c r="J4991" t="s">
        <v>623</v>
      </c>
      <c r="K4991" t="s">
        <v>20</v>
      </c>
      <c r="L4991" t="s">
        <v>11619</v>
      </c>
      <c r="M4991" s="3" t="str">
        <f>HYPERLINK("..\..\Imagery\ScannedPhotos\1980\CG80-166E.jpg")</f>
        <v>..\..\Imagery\ScannedPhotos\1980\CG80-166E.jpg</v>
      </c>
      <c r="N4991" t="s">
        <v>1808</v>
      </c>
    </row>
    <row r="4992" spans="1:14" x14ac:dyDescent="0.25">
      <c r="A4992" t="s">
        <v>11620</v>
      </c>
      <c r="B4992">
        <v>408295</v>
      </c>
      <c r="C4992">
        <v>5993893</v>
      </c>
      <c r="D4992">
        <v>21</v>
      </c>
      <c r="E4992" t="s">
        <v>15</v>
      </c>
      <c r="F4992" t="s">
        <v>11621</v>
      </c>
      <c r="G4992">
        <v>1</v>
      </c>
      <c r="H4992" t="s">
        <v>1133</v>
      </c>
      <c r="I4992" t="s">
        <v>281</v>
      </c>
      <c r="J4992" t="s">
        <v>623</v>
      </c>
      <c r="K4992" t="s">
        <v>20</v>
      </c>
      <c r="L4992" t="s">
        <v>11622</v>
      </c>
      <c r="M4992" s="3" t="str">
        <f>HYPERLINK("..\..\Imagery\ScannedPhotos\1980\CG80-168E.jpg")</f>
        <v>..\..\Imagery\ScannedPhotos\1980\CG80-168E.jpg</v>
      </c>
      <c r="N4992" t="s">
        <v>1808</v>
      </c>
    </row>
    <row r="4993" spans="1:14" x14ac:dyDescent="0.25">
      <c r="A4993" t="s">
        <v>11623</v>
      </c>
      <c r="B4993">
        <v>407351</v>
      </c>
      <c r="C4993">
        <v>5992953</v>
      </c>
      <c r="D4993">
        <v>21</v>
      </c>
      <c r="E4993" t="s">
        <v>15</v>
      </c>
      <c r="F4993" t="s">
        <v>11624</v>
      </c>
      <c r="G4993">
        <v>1</v>
      </c>
      <c r="H4993" t="s">
        <v>1133</v>
      </c>
      <c r="I4993" t="s">
        <v>137</v>
      </c>
      <c r="J4993" t="s">
        <v>623</v>
      </c>
      <c r="K4993" t="s">
        <v>20</v>
      </c>
      <c r="L4993" t="s">
        <v>11625</v>
      </c>
      <c r="M4993" s="3" t="str">
        <f>HYPERLINK("..\..\Imagery\ScannedPhotos\1980\CG80-174E.jpg")</f>
        <v>..\..\Imagery\ScannedPhotos\1980\CG80-174E.jpg</v>
      </c>
      <c r="N4993" t="s">
        <v>1808</v>
      </c>
    </row>
    <row r="4994" spans="1:14" x14ac:dyDescent="0.25">
      <c r="A4994" t="s">
        <v>8197</v>
      </c>
      <c r="B4994">
        <v>411606</v>
      </c>
      <c r="C4994">
        <v>6015793</v>
      </c>
      <c r="D4994">
        <v>21</v>
      </c>
      <c r="E4994" t="s">
        <v>15</v>
      </c>
      <c r="F4994" t="s">
        <v>11626</v>
      </c>
      <c r="G4994">
        <v>3</v>
      </c>
      <c r="H4994" t="s">
        <v>93</v>
      </c>
      <c r="I4994" t="s">
        <v>137</v>
      </c>
      <c r="J4994" t="s">
        <v>95</v>
      </c>
      <c r="K4994" t="s">
        <v>228</v>
      </c>
      <c r="L4994" t="s">
        <v>11627</v>
      </c>
      <c r="M4994" s="3" t="str">
        <f>HYPERLINK("..\..\Imagery\ScannedPhotos\1980\CG80-219.2E.jpg")</f>
        <v>..\..\Imagery\ScannedPhotos\1980\CG80-219.2E.jpg</v>
      </c>
      <c r="N4994" t="s">
        <v>1808</v>
      </c>
    </row>
    <row r="4995" spans="1:14" x14ac:dyDescent="0.25">
      <c r="A4995" t="s">
        <v>11628</v>
      </c>
      <c r="B4995">
        <v>447328</v>
      </c>
      <c r="C4995">
        <v>6007727</v>
      </c>
      <c r="D4995">
        <v>21</v>
      </c>
      <c r="E4995" t="s">
        <v>15</v>
      </c>
      <c r="F4995" t="s">
        <v>11629</v>
      </c>
      <c r="G4995">
        <v>1</v>
      </c>
      <c r="H4995" t="s">
        <v>93</v>
      </c>
      <c r="I4995" t="s">
        <v>360</v>
      </c>
      <c r="J4995" t="s">
        <v>95</v>
      </c>
      <c r="K4995" t="s">
        <v>20</v>
      </c>
      <c r="L4995" t="s">
        <v>11630</v>
      </c>
      <c r="M4995" s="3" t="str">
        <f>HYPERLINK("..\..\Imagery\ScannedPhotos\1980\CG80-254E.jpg")</f>
        <v>..\..\Imagery\ScannedPhotos\1980\CG80-254E.jpg</v>
      </c>
      <c r="N4995" t="s">
        <v>1808</v>
      </c>
    </row>
    <row r="4996" spans="1:14" x14ac:dyDescent="0.25">
      <c r="A4996" t="s">
        <v>11631</v>
      </c>
      <c r="B4996">
        <v>450090</v>
      </c>
      <c r="C4996">
        <v>6007808</v>
      </c>
      <c r="D4996">
        <v>21</v>
      </c>
      <c r="E4996" t="s">
        <v>15</v>
      </c>
      <c r="F4996" t="s">
        <v>11632</v>
      </c>
      <c r="G4996">
        <v>1</v>
      </c>
      <c r="H4996" t="s">
        <v>93</v>
      </c>
      <c r="I4996" t="s">
        <v>122</v>
      </c>
      <c r="J4996" t="s">
        <v>95</v>
      </c>
      <c r="K4996" t="s">
        <v>20</v>
      </c>
      <c r="L4996" t="s">
        <v>11633</v>
      </c>
      <c r="M4996" s="3" t="str">
        <f>HYPERLINK("..\..\Imagery\ScannedPhotos\1980\CG80-266E.jpg")</f>
        <v>..\..\Imagery\ScannedPhotos\1980\CG80-266E.jpg</v>
      </c>
      <c r="N4996" t="s">
        <v>1808</v>
      </c>
    </row>
    <row r="4997" spans="1:14" x14ac:dyDescent="0.25">
      <c r="A4997" t="s">
        <v>11634</v>
      </c>
      <c r="B4997">
        <v>456043</v>
      </c>
      <c r="C4997">
        <v>6006432</v>
      </c>
      <c r="D4997">
        <v>21</v>
      </c>
      <c r="E4997" t="s">
        <v>15</v>
      </c>
      <c r="F4997" t="s">
        <v>11635</v>
      </c>
      <c r="G4997">
        <v>1</v>
      </c>
      <c r="H4997" t="s">
        <v>93</v>
      </c>
      <c r="I4997" t="s">
        <v>65</v>
      </c>
      <c r="J4997" t="s">
        <v>95</v>
      </c>
      <c r="K4997" t="s">
        <v>20</v>
      </c>
      <c r="L4997" t="s">
        <v>8396</v>
      </c>
      <c r="M4997" s="3" t="str">
        <f>HYPERLINK("..\..\Imagery\ScannedPhotos\1980\CG80-287cropped.jpg")</f>
        <v>..\..\Imagery\ScannedPhotos\1980\CG80-287cropped.jpg</v>
      </c>
      <c r="N4997" t="s">
        <v>4297</v>
      </c>
    </row>
    <row r="4998" spans="1:14" x14ac:dyDescent="0.25">
      <c r="A4998" t="s">
        <v>11180</v>
      </c>
      <c r="B4998">
        <v>452864</v>
      </c>
      <c r="C4998">
        <v>6006381</v>
      </c>
      <c r="D4998">
        <v>21</v>
      </c>
      <c r="E4998" t="s">
        <v>15</v>
      </c>
      <c r="F4998" t="s">
        <v>11636</v>
      </c>
      <c r="G4998">
        <v>2</v>
      </c>
      <c r="H4998" t="s">
        <v>1636</v>
      </c>
      <c r="I4998" t="s">
        <v>281</v>
      </c>
      <c r="J4998" t="s">
        <v>652</v>
      </c>
      <c r="K4998" t="s">
        <v>20</v>
      </c>
      <c r="L4998" t="s">
        <v>11637</v>
      </c>
      <c r="M4998" s="3" t="str">
        <f>HYPERLINK("..\..\Imagery\ScannedPhotos\1980\CG80-294.1cropped.jpg")</f>
        <v>..\..\Imagery\ScannedPhotos\1980\CG80-294.1cropped.jpg</v>
      </c>
      <c r="N4998" t="s">
        <v>4297</v>
      </c>
    </row>
    <row r="4999" spans="1:14" x14ac:dyDescent="0.25">
      <c r="A4999" t="s">
        <v>11638</v>
      </c>
      <c r="B4999">
        <v>452475</v>
      </c>
      <c r="C4999">
        <v>6006409</v>
      </c>
      <c r="D4999">
        <v>21</v>
      </c>
      <c r="E4999" t="s">
        <v>15</v>
      </c>
      <c r="F4999" t="s">
        <v>11639</v>
      </c>
      <c r="G4999">
        <v>1</v>
      </c>
      <c r="H4999" t="s">
        <v>1636</v>
      </c>
      <c r="I4999" t="s">
        <v>18</v>
      </c>
      <c r="J4999" t="s">
        <v>652</v>
      </c>
      <c r="K4999" t="s">
        <v>228</v>
      </c>
      <c r="L4999" t="s">
        <v>11640</v>
      </c>
      <c r="M4999" s="3" t="str">
        <f>HYPERLINK("..\..\Imagery\ScannedPhotos\1980\CG80-295E.jpg")</f>
        <v>..\..\Imagery\ScannedPhotos\1980\CG80-295E.jpg</v>
      </c>
      <c r="N4999" t="s">
        <v>1808</v>
      </c>
    </row>
    <row r="5000" spans="1:14" x14ac:dyDescent="0.25">
      <c r="A5000" t="s">
        <v>11641</v>
      </c>
      <c r="B5000">
        <v>455730</v>
      </c>
      <c r="C5000">
        <v>6007178</v>
      </c>
      <c r="D5000">
        <v>21</v>
      </c>
      <c r="E5000" t="s">
        <v>15</v>
      </c>
      <c r="F5000" t="s">
        <v>11642</v>
      </c>
      <c r="G5000">
        <v>1</v>
      </c>
      <c r="H5000" t="s">
        <v>1636</v>
      </c>
      <c r="I5000" t="s">
        <v>222</v>
      </c>
      <c r="J5000" t="s">
        <v>652</v>
      </c>
      <c r="K5000" t="s">
        <v>20</v>
      </c>
      <c r="L5000" t="s">
        <v>11643</v>
      </c>
      <c r="M5000" s="3" t="str">
        <f>HYPERLINK("..\..\Imagery\ScannedPhotos\1980\CG80-306E.jpg")</f>
        <v>..\..\Imagery\ScannedPhotos\1980\CG80-306E.jpg</v>
      </c>
      <c r="N5000" t="s">
        <v>1808</v>
      </c>
    </row>
    <row r="5001" spans="1:14" x14ac:dyDescent="0.25">
      <c r="A5001" t="s">
        <v>4211</v>
      </c>
      <c r="B5001">
        <v>468581</v>
      </c>
      <c r="C5001">
        <v>6004991</v>
      </c>
      <c r="D5001">
        <v>21</v>
      </c>
      <c r="E5001" t="s">
        <v>15</v>
      </c>
      <c r="F5001" t="s">
        <v>11644</v>
      </c>
      <c r="G5001">
        <v>3</v>
      </c>
      <c r="H5001" t="s">
        <v>1326</v>
      </c>
      <c r="I5001" t="s">
        <v>52</v>
      </c>
      <c r="J5001" t="s">
        <v>95</v>
      </c>
      <c r="K5001" t="s">
        <v>228</v>
      </c>
      <c r="L5001" t="s">
        <v>4213</v>
      </c>
      <c r="M5001" s="3" t="str">
        <f>HYPERLINK("..\..\Imagery\ScannedPhotos\1980\CG80-323.2E.jpg")</f>
        <v>..\..\Imagery\ScannedPhotos\1980\CG80-323.2E.jpg</v>
      </c>
      <c r="N5001" t="s">
        <v>1808</v>
      </c>
    </row>
    <row r="5002" spans="1:14" x14ac:dyDescent="0.25">
      <c r="A5002" t="s">
        <v>5508</v>
      </c>
      <c r="B5002">
        <v>469175</v>
      </c>
      <c r="C5002">
        <v>6005402</v>
      </c>
      <c r="D5002">
        <v>21</v>
      </c>
      <c r="E5002" t="s">
        <v>15</v>
      </c>
      <c r="F5002" t="s">
        <v>11645</v>
      </c>
      <c r="G5002">
        <v>2</v>
      </c>
      <c r="H5002" t="s">
        <v>1636</v>
      </c>
      <c r="I5002" t="s">
        <v>147</v>
      </c>
      <c r="J5002" t="s">
        <v>652</v>
      </c>
      <c r="K5002" t="s">
        <v>56</v>
      </c>
      <c r="L5002" t="s">
        <v>11646</v>
      </c>
      <c r="M5002" s="3" t="str">
        <f>HYPERLINK("..\..\Imagery\ScannedPhotos\1980\CG80-325.2cropped.jpg")</f>
        <v>..\..\Imagery\ScannedPhotos\1980\CG80-325.2cropped.jpg</v>
      </c>
      <c r="N5002" t="s">
        <v>4297</v>
      </c>
    </row>
    <row r="5003" spans="1:14" x14ac:dyDescent="0.25">
      <c r="A5003" t="s">
        <v>11647</v>
      </c>
      <c r="B5003">
        <v>467696</v>
      </c>
      <c r="C5003">
        <v>6006412</v>
      </c>
      <c r="D5003">
        <v>21</v>
      </c>
      <c r="E5003" t="s">
        <v>15</v>
      </c>
      <c r="F5003" t="s">
        <v>11648</v>
      </c>
      <c r="G5003">
        <v>1</v>
      </c>
      <c r="H5003" t="s">
        <v>1636</v>
      </c>
      <c r="I5003" t="s">
        <v>47</v>
      </c>
      <c r="J5003" t="s">
        <v>652</v>
      </c>
      <c r="K5003" t="s">
        <v>228</v>
      </c>
      <c r="L5003" t="s">
        <v>11649</v>
      </c>
      <c r="M5003" s="3" t="str">
        <f>HYPERLINK("..\..\Imagery\ScannedPhotos\1980\CG80-327.1E.jpg")</f>
        <v>..\..\Imagery\ScannedPhotos\1980\CG80-327.1E.jpg</v>
      </c>
      <c r="N5003" t="s">
        <v>1808</v>
      </c>
    </row>
    <row r="5004" spans="1:14" x14ac:dyDescent="0.25">
      <c r="A5004" t="s">
        <v>11647</v>
      </c>
      <c r="B5004">
        <v>467696</v>
      </c>
      <c r="C5004">
        <v>6006412</v>
      </c>
      <c r="D5004">
        <v>21</v>
      </c>
      <c r="E5004" t="s">
        <v>15</v>
      </c>
      <c r="F5004" t="s">
        <v>11650</v>
      </c>
      <c r="G5004">
        <v>1</v>
      </c>
      <c r="H5004" t="s">
        <v>3982</v>
      </c>
      <c r="I5004" t="s">
        <v>108</v>
      </c>
      <c r="J5004" t="s">
        <v>2247</v>
      </c>
      <c r="K5004" t="s">
        <v>228</v>
      </c>
      <c r="L5004" t="s">
        <v>11651</v>
      </c>
      <c r="M5004" s="3" t="str">
        <f>HYPERLINK("..\..\Imagery\ScannedPhotos\1980\CG80-327.2E.jpg")</f>
        <v>..\..\Imagery\ScannedPhotos\1980\CG80-327.2E.jpg</v>
      </c>
      <c r="N5004" t="s">
        <v>1808</v>
      </c>
    </row>
    <row r="5005" spans="1:14" x14ac:dyDescent="0.25">
      <c r="A5005" t="s">
        <v>11647</v>
      </c>
      <c r="B5005">
        <v>467696</v>
      </c>
      <c r="C5005">
        <v>6006412</v>
      </c>
      <c r="D5005">
        <v>21</v>
      </c>
      <c r="E5005" t="s">
        <v>15</v>
      </c>
      <c r="F5005" t="s">
        <v>11652</v>
      </c>
      <c r="G5005">
        <v>1</v>
      </c>
      <c r="H5005" t="s">
        <v>3982</v>
      </c>
      <c r="I5005" t="s">
        <v>132</v>
      </c>
      <c r="J5005" t="s">
        <v>2247</v>
      </c>
      <c r="K5005" t="s">
        <v>228</v>
      </c>
      <c r="L5005" t="s">
        <v>11653</v>
      </c>
      <c r="M5005" s="3" t="str">
        <f>HYPERLINK("..\..\Imagery\ScannedPhotos\1980\CG80-327.3E.jpg")</f>
        <v>..\..\Imagery\ScannedPhotos\1980\CG80-327.3E.jpg</v>
      </c>
      <c r="N5005" t="s">
        <v>1808</v>
      </c>
    </row>
    <row r="5006" spans="1:14" x14ac:dyDescent="0.25">
      <c r="A5006" t="s">
        <v>9571</v>
      </c>
      <c r="B5006">
        <v>582645</v>
      </c>
      <c r="C5006">
        <v>5838647</v>
      </c>
      <c r="D5006">
        <v>21</v>
      </c>
      <c r="E5006" t="s">
        <v>15</v>
      </c>
      <c r="F5006" t="s">
        <v>11654</v>
      </c>
      <c r="G5006">
        <v>3</v>
      </c>
      <c r="H5006" t="s">
        <v>288</v>
      </c>
      <c r="I5006" t="s">
        <v>217</v>
      </c>
      <c r="J5006" t="s">
        <v>289</v>
      </c>
      <c r="K5006" t="s">
        <v>20</v>
      </c>
      <c r="L5006" t="s">
        <v>9570</v>
      </c>
      <c r="M5006" s="3" t="str">
        <f>HYPERLINK("..\..\Imagery\ScannedPhotos\1986\CG86-683.1.jpg")</f>
        <v>..\..\Imagery\ScannedPhotos\1986\CG86-683.1.jpg</v>
      </c>
    </row>
    <row r="5007" spans="1:14" x14ac:dyDescent="0.25">
      <c r="A5007" t="s">
        <v>11655</v>
      </c>
      <c r="B5007">
        <v>444013</v>
      </c>
      <c r="C5007">
        <v>5802980</v>
      </c>
      <c r="D5007">
        <v>21</v>
      </c>
      <c r="E5007" t="s">
        <v>15</v>
      </c>
      <c r="F5007" t="s">
        <v>11656</v>
      </c>
      <c r="G5007">
        <v>6</v>
      </c>
      <c r="H5007" t="s">
        <v>5587</v>
      </c>
      <c r="I5007" t="s">
        <v>94</v>
      </c>
      <c r="J5007" t="s">
        <v>2341</v>
      </c>
      <c r="K5007" t="s">
        <v>56</v>
      </c>
      <c r="L5007" t="s">
        <v>4940</v>
      </c>
      <c r="M5007" s="3" t="str">
        <f>HYPERLINK("..\..\Imagery\ScannedPhotos\1992\VN92-108.2.jpg")</f>
        <v>..\..\Imagery\ScannedPhotos\1992\VN92-108.2.jpg</v>
      </c>
    </row>
    <row r="5008" spans="1:14" x14ac:dyDescent="0.25">
      <c r="A5008" t="s">
        <v>11655</v>
      </c>
      <c r="B5008">
        <v>444013</v>
      </c>
      <c r="C5008">
        <v>5802980</v>
      </c>
      <c r="D5008">
        <v>21</v>
      </c>
      <c r="E5008" t="s">
        <v>15</v>
      </c>
      <c r="F5008" t="s">
        <v>11657</v>
      </c>
      <c r="G5008">
        <v>6</v>
      </c>
      <c r="H5008" t="s">
        <v>5587</v>
      </c>
      <c r="I5008" t="s">
        <v>209</v>
      </c>
      <c r="J5008" t="s">
        <v>2341</v>
      </c>
      <c r="K5008" t="s">
        <v>56</v>
      </c>
      <c r="L5008" t="s">
        <v>11658</v>
      </c>
      <c r="M5008" s="3" t="str">
        <f>HYPERLINK("..\..\Imagery\ScannedPhotos\1992\VN92-108.3.jpg")</f>
        <v>..\..\Imagery\ScannedPhotos\1992\VN92-108.3.jpg</v>
      </c>
    </row>
    <row r="5009" spans="1:14" x14ac:dyDescent="0.25">
      <c r="A5009" t="s">
        <v>11655</v>
      </c>
      <c r="B5009">
        <v>444013</v>
      </c>
      <c r="C5009">
        <v>5802980</v>
      </c>
      <c r="D5009">
        <v>21</v>
      </c>
      <c r="E5009" t="s">
        <v>15</v>
      </c>
      <c r="F5009" t="s">
        <v>11659</v>
      </c>
      <c r="G5009">
        <v>6</v>
      </c>
      <c r="H5009" t="s">
        <v>5587</v>
      </c>
      <c r="I5009" t="s">
        <v>217</v>
      </c>
      <c r="J5009" t="s">
        <v>2341</v>
      </c>
      <c r="K5009" t="s">
        <v>56</v>
      </c>
      <c r="L5009" t="s">
        <v>4940</v>
      </c>
      <c r="M5009" s="3" t="str">
        <f>HYPERLINK("..\..\Imagery\ScannedPhotos\1992\VN92-108.5.jpg")</f>
        <v>..\..\Imagery\ScannedPhotos\1992\VN92-108.5.jpg</v>
      </c>
    </row>
    <row r="5010" spans="1:14" x14ac:dyDescent="0.25">
      <c r="A5010" t="s">
        <v>8594</v>
      </c>
      <c r="B5010">
        <v>332160</v>
      </c>
      <c r="C5010">
        <v>5771420</v>
      </c>
      <c r="D5010">
        <v>21</v>
      </c>
      <c r="E5010" t="s">
        <v>15</v>
      </c>
      <c r="F5010" t="s">
        <v>11660</v>
      </c>
      <c r="G5010">
        <v>11</v>
      </c>
      <c r="H5010" t="s">
        <v>3404</v>
      </c>
      <c r="I5010" t="s">
        <v>137</v>
      </c>
      <c r="J5010" t="s">
        <v>80</v>
      </c>
      <c r="K5010" t="s">
        <v>20</v>
      </c>
      <c r="L5010" t="s">
        <v>11661</v>
      </c>
      <c r="M5010" s="3" t="str">
        <f>HYPERLINK("..\..\Imagery\ScannedPhotos\2000\CG00-154.1.jpg")</f>
        <v>..\..\Imagery\ScannedPhotos\2000\CG00-154.1.jpg</v>
      </c>
    </row>
    <row r="5011" spans="1:14" x14ac:dyDescent="0.25">
      <c r="A5011" t="s">
        <v>1184</v>
      </c>
      <c r="B5011">
        <v>498017</v>
      </c>
      <c r="C5011">
        <v>5950628</v>
      </c>
      <c r="D5011">
        <v>21</v>
      </c>
      <c r="E5011" t="s">
        <v>15</v>
      </c>
      <c r="F5011" t="s">
        <v>11662</v>
      </c>
      <c r="G5011">
        <v>26</v>
      </c>
      <c r="H5011" t="s">
        <v>1197</v>
      </c>
      <c r="I5011" t="s">
        <v>214</v>
      </c>
      <c r="J5011" t="s">
        <v>48</v>
      </c>
      <c r="K5011" t="s">
        <v>535</v>
      </c>
      <c r="L5011" t="s">
        <v>11663</v>
      </c>
      <c r="M5011" s="3" t="str">
        <f>HYPERLINK("..\..\Imagery\ScannedPhotos\1981\CG81-001.12.jpg")</f>
        <v>..\..\Imagery\ScannedPhotos\1981\CG81-001.12.jpg</v>
      </c>
    </row>
    <row r="5012" spans="1:14" x14ac:dyDescent="0.25">
      <c r="A5012" t="s">
        <v>11664</v>
      </c>
      <c r="B5012">
        <v>485952</v>
      </c>
      <c r="C5012">
        <v>5914622</v>
      </c>
      <c r="D5012">
        <v>21</v>
      </c>
      <c r="E5012" t="s">
        <v>15</v>
      </c>
      <c r="F5012" t="s">
        <v>11665</v>
      </c>
      <c r="G5012">
        <v>1</v>
      </c>
      <c r="H5012" t="s">
        <v>4058</v>
      </c>
      <c r="I5012" t="s">
        <v>209</v>
      </c>
      <c r="J5012" t="s">
        <v>2247</v>
      </c>
      <c r="K5012" t="s">
        <v>20</v>
      </c>
      <c r="L5012" t="s">
        <v>2996</v>
      </c>
      <c r="M5012" s="3" t="str">
        <f>HYPERLINK("..\..\Imagery\ScannedPhotos\1984\VN84-339.jpg")</f>
        <v>..\..\Imagery\ScannedPhotos\1984\VN84-339.jpg</v>
      </c>
    </row>
    <row r="5013" spans="1:14" x14ac:dyDescent="0.25">
      <c r="A5013" t="s">
        <v>10639</v>
      </c>
      <c r="B5013">
        <v>486932</v>
      </c>
      <c r="C5013">
        <v>5825104</v>
      </c>
      <c r="D5013">
        <v>21</v>
      </c>
      <c r="E5013" t="s">
        <v>15</v>
      </c>
      <c r="F5013" t="s">
        <v>11666</v>
      </c>
      <c r="G5013">
        <v>5</v>
      </c>
      <c r="H5013" t="s">
        <v>2521</v>
      </c>
      <c r="I5013" t="s">
        <v>69</v>
      </c>
      <c r="J5013" t="s">
        <v>2522</v>
      </c>
      <c r="K5013" t="s">
        <v>20</v>
      </c>
      <c r="L5013" t="s">
        <v>11667</v>
      </c>
      <c r="M5013" s="3" t="str">
        <f>HYPERLINK("..\..\Imagery\ScannedPhotos\1991\VN91-372.5.jpg")</f>
        <v>..\..\Imagery\ScannedPhotos\1991\VN91-372.5.jpg</v>
      </c>
    </row>
    <row r="5014" spans="1:14" x14ac:dyDescent="0.25">
      <c r="A5014" t="s">
        <v>10639</v>
      </c>
      <c r="B5014">
        <v>486932</v>
      </c>
      <c r="C5014">
        <v>5825104</v>
      </c>
      <c r="D5014">
        <v>21</v>
      </c>
      <c r="E5014" t="s">
        <v>15</v>
      </c>
      <c r="F5014" t="s">
        <v>11668</v>
      </c>
      <c r="G5014">
        <v>5</v>
      </c>
      <c r="H5014" t="s">
        <v>2521</v>
      </c>
      <c r="I5014" t="s">
        <v>18</v>
      </c>
      <c r="J5014" t="s">
        <v>2522</v>
      </c>
      <c r="K5014" t="s">
        <v>20</v>
      </c>
      <c r="L5014" t="s">
        <v>11669</v>
      </c>
      <c r="M5014" s="3" t="str">
        <f>HYPERLINK("..\..\Imagery\ScannedPhotos\1991\VN91-372.3.jpg")</f>
        <v>..\..\Imagery\ScannedPhotos\1991\VN91-372.3.jpg</v>
      </c>
    </row>
    <row r="5015" spans="1:14" x14ac:dyDescent="0.25">
      <c r="A5015" t="s">
        <v>10639</v>
      </c>
      <c r="B5015">
        <v>486932</v>
      </c>
      <c r="C5015">
        <v>5825104</v>
      </c>
      <c r="D5015">
        <v>21</v>
      </c>
      <c r="E5015" t="s">
        <v>15</v>
      </c>
      <c r="F5015" t="s">
        <v>11670</v>
      </c>
      <c r="G5015">
        <v>5</v>
      </c>
      <c r="H5015" t="s">
        <v>2521</v>
      </c>
      <c r="I5015" t="s">
        <v>137</v>
      </c>
      <c r="J5015" t="s">
        <v>2522</v>
      </c>
      <c r="K5015" t="s">
        <v>20</v>
      </c>
      <c r="L5015" t="s">
        <v>11667</v>
      </c>
      <c r="M5015" s="3" t="str">
        <f>HYPERLINK("..\..\Imagery\ScannedPhotos\1991\VN91-372.2.jpg")</f>
        <v>..\..\Imagery\ScannedPhotos\1991\VN91-372.2.jpg</v>
      </c>
    </row>
    <row r="5016" spans="1:14" x14ac:dyDescent="0.25">
      <c r="A5016" t="s">
        <v>11671</v>
      </c>
      <c r="B5016">
        <v>487452</v>
      </c>
      <c r="C5016">
        <v>6032794</v>
      </c>
      <c r="D5016">
        <v>21</v>
      </c>
      <c r="E5016" t="s">
        <v>15</v>
      </c>
      <c r="F5016" t="s">
        <v>11672</v>
      </c>
      <c r="G5016">
        <v>1</v>
      </c>
      <c r="H5016" t="s">
        <v>3982</v>
      </c>
      <c r="I5016" t="s">
        <v>129</v>
      </c>
      <c r="J5016" t="s">
        <v>2247</v>
      </c>
      <c r="K5016" t="s">
        <v>228</v>
      </c>
      <c r="L5016" t="s">
        <v>11673</v>
      </c>
      <c r="M5016" s="3" t="str">
        <f>HYPERLINK("..\..\Imagery\ScannedPhotos\1982\CG82-030cropped.jpg")</f>
        <v>..\..\Imagery\ScannedPhotos\1982\CG82-030cropped.jpg</v>
      </c>
      <c r="N5016" t="s">
        <v>4297</v>
      </c>
    </row>
    <row r="5017" spans="1:14" x14ac:dyDescent="0.25">
      <c r="A5017" t="s">
        <v>8194</v>
      </c>
      <c r="B5017">
        <v>342275</v>
      </c>
      <c r="C5017">
        <v>5970341</v>
      </c>
      <c r="D5017">
        <v>21</v>
      </c>
      <c r="E5017" t="s">
        <v>15</v>
      </c>
      <c r="F5017" t="s">
        <v>11674</v>
      </c>
      <c r="G5017">
        <v>3</v>
      </c>
      <c r="H5017" t="s">
        <v>1232</v>
      </c>
      <c r="I5017" t="s">
        <v>214</v>
      </c>
      <c r="J5017" t="s">
        <v>1233</v>
      </c>
      <c r="K5017" t="s">
        <v>56</v>
      </c>
      <c r="L5017" t="s">
        <v>11675</v>
      </c>
      <c r="M5017" s="3" t="str">
        <f>HYPERLINK("..\..\Imagery\ScannedPhotos\1982\PE82-149.1cropped.jpg")</f>
        <v>..\..\Imagery\ScannedPhotos\1982\PE82-149.1cropped.jpg</v>
      </c>
      <c r="N5017" t="s">
        <v>4297</v>
      </c>
    </row>
    <row r="5018" spans="1:14" x14ac:dyDescent="0.25">
      <c r="A5018" t="s">
        <v>11676</v>
      </c>
      <c r="B5018">
        <v>363703</v>
      </c>
      <c r="C5018">
        <v>5961525</v>
      </c>
      <c r="D5018">
        <v>21</v>
      </c>
      <c r="E5018" t="s">
        <v>15</v>
      </c>
      <c r="F5018" t="s">
        <v>11677</v>
      </c>
      <c r="G5018">
        <v>1</v>
      </c>
      <c r="H5018" t="s">
        <v>1171</v>
      </c>
      <c r="I5018" t="s">
        <v>30</v>
      </c>
      <c r="J5018" t="s">
        <v>563</v>
      </c>
      <c r="K5018" t="s">
        <v>228</v>
      </c>
      <c r="L5018" t="s">
        <v>11678</v>
      </c>
      <c r="M5018" s="3" t="str">
        <f>HYPERLINK("..\..\Imagery\ScannedPhotos\1982\MW82-023E.jpg")</f>
        <v>..\..\Imagery\ScannedPhotos\1982\MW82-023E.jpg</v>
      </c>
      <c r="N5018" t="s">
        <v>1808</v>
      </c>
    </row>
    <row r="5019" spans="1:14" x14ac:dyDescent="0.25">
      <c r="A5019" t="s">
        <v>11679</v>
      </c>
      <c r="B5019">
        <v>348919</v>
      </c>
      <c r="C5019">
        <v>6036304</v>
      </c>
      <c r="D5019">
        <v>21</v>
      </c>
      <c r="E5019" t="s">
        <v>15</v>
      </c>
      <c r="F5019" t="s">
        <v>11680</v>
      </c>
      <c r="G5019">
        <v>1</v>
      </c>
      <c r="H5019" t="s">
        <v>4136</v>
      </c>
      <c r="I5019" t="s">
        <v>35</v>
      </c>
      <c r="J5019" t="s">
        <v>423</v>
      </c>
      <c r="K5019" t="s">
        <v>228</v>
      </c>
      <c r="L5019" t="s">
        <v>11681</v>
      </c>
      <c r="M5019" s="3" t="str">
        <f>HYPERLINK("..\..\Imagery\ScannedPhotos\1983\CG83-012cropped.jpg")</f>
        <v>..\..\Imagery\ScannedPhotos\1983\CG83-012cropped.jpg</v>
      </c>
      <c r="N5019" t="s">
        <v>4297</v>
      </c>
    </row>
    <row r="5020" spans="1:14" x14ac:dyDescent="0.25">
      <c r="A5020" t="s">
        <v>6218</v>
      </c>
      <c r="B5020">
        <v>355246</v>
      </c>
      <c r="C5020">
        <v>5997038</v>
      </c>
      <c r="D5020">
        <v>21</v>
      </c>
      <c r="E5020" t="s">
        <v>15</v>
      </c>
      <c r="F5020" t="s">
        <v>11682</v>
      </c>
      <c r="G5020">
        <v>2</v>
      </c>
      <c r="H5020" t="s">
        <v>2431</v>
      </c>
      <c r="I5020" t="s">
        <v>25</v>
      </c>
      <c r="J5020" t="s">
        <v>269</v>
      </c>
      <c r="K5020" t="s">
        <v>20</v>
      </c>
      <c r="L5020" t="s">
        <v>6220</v>
      </c>
      <c r="M5020" s="3" t="str">
        <f>HYPERLINK("..\..\Imagery\ScannedPhotos\1983\CG83-220.2cropped.jpg")</f>
        <v>..\..\Imagery\ScannedPhotos\1983\CG83-220.2cropped.jpg</v>
      </c>
      <c r="N5020" t="s">
        <v>4297</v>
      </c>
    </row>
    <row r="5021" spans="1:14" x14ac:dyDescent="0.25">
      <c r="A5021" t="s">
        <v>82</v>
      </c>
      <c r="B5021">
        <v>313335</v>
      </c>
      <c r="C5021">
        <v>6006784</v>
      </c>
      <c r="D5021">
        <v>21</v>
      </c>
      <c r="E5021" t="s">
        <v>15</v>
      </c>
      <c r="F5021" t="s">
        <v>11683</v>
      </c>
      <c r="G5021">
        <v>3</v>
      </c>
      <c r="H5021" t="s">
        <v>84</v>
      </c>
      <c r="I5021" t="s">
        <v>41</v>
      </c>
      <c r="J5021" t="s">
        <v>86</v>
      </c>
      <c r="K5021" t="s">
        <v>20</v>
      </c>
      <c r="L5021" t="s">
        <v>87</v>
      </c>
      <c r="M5021" s="3" t="str">
        <f>HYPERLINK("..\..\Imagery\ScannedPhotos\1983\CG83-305.1cropped.jpg")</f>
        <v>..\..\Imagery\ScannedPhotos\1983\CG83-305.1cropped.jpg</v>
      </c>
      <c r="N5021" t="s">
        <v>4297</v>
      </c>
    </row>
    <row r="5022" spans="1:14" x14ac:dyDescent="0.25">
      <c r="A5022" t="s">
        <v>10541</v>
      </c>
      <c r="B5022">
        <v>379474</v>
      </c>
      <c r="C5022">
        <v>5979549</v>
      </c>
      <c r="D5022">
        <v>21</v>
      </c>
      <c r="E5022" t="s">
        <v>15</v>
      </c>
      <c r="F5022" t="s">
        <v>11684</v>
      </c>
      <c r="G5022">
        <v>4</v>
      </c>
      <c r="H5022" t="s">
        <v>622</v>
      </c>
      <c r="I5022" t="s">
        <v>147</v>
      </c>
      <c r="J5022" t="s">
        <v>623</v>
      </c>
      <c r="K5022" t="s">
        <v>20</v>
      </c>
      <c r="L5022" t="s">
        <v>10543</v>
      </c>
      <c r="M5022" s="3" t="str">
        <f>HYPERLINK("..\..\Imagery\ScannedPhotos\1980\NN80-175.2.jpg")</f>
        <v>..\..\Imagery\ScannedPhotos\1980\NN80-175.2.jpg</v>
      </c>
    </row>
    <row r="5023" spans="1:14" x14ac:dyDescent="0.25">
      <c r="A5023" t="s">
        <v>10541</v>
      </c>
      <c r="B5023">
        <v>379474</v>
      </c>
      <c r="C5023">
        <v>5979549</v>
      </c>
      <c r="D5023">
        <v>21</v>
      </c>
      <c r="E5023" t="s">
        <v>15</v>
      </c>
      <c r="F5023" t="s">
        <v>11685</v>
      </c>
      <c r="G5023">
        <v>4</v>
      </c>
      <c r="H5023" t="s">
        <v>622</v>
      </c>
      <c r="I5023" t="s">
        <v>47</v>
      </c>
      <c r="J5023" t="s">
        <v>623</v>
      </c>
      <c r="K5023" t="s">
        <v>20</v>
      </c>
      <c r="L5023" t="s">
        <v>11686</v>
      </c>
      <c r="M5023" s="3" t="str">
        <f>HYPERLINK("..\..\Imagery\ScannedPhotos\1980\NN80-175.3.jpg")</f>
        <v>..\..\Imagery\ScannedPhotos\1980\NN80-175.3.jpg</v>
      </c>
    </row>
    <row r="5024" spans="1:14" x14ac:dyDescent="0.25">
      <c r="A5024" t="s">
        <v>11687</v>
      </c>
      <c r="B5024">
        <v>380151</v>
      </c>
      <c r="C5024">
        <v>5979418</v>
      </c>
      <c r="D5024">
        <v>21</v>
      </c>
      <c r="E5024" t="s">
        <v>15</v>
      </c>
      <c r="F5024" t="s">
        <v>11688</v>
      </c>
      <c r="G5024">
        <v>1</v>
      </c>
      <c r="H5024" t="s">
        <v>622</v>
      </c>
      <c r="I5024" t="s">
        <v>65</v>
      </c>
      <c r="J5024" t="s">
        <v>623</v>
      </c>
      <c r="K5024" t="s">
        <v>20</v>
      </c>
      <c r="L5024" t="s">
        <v>1020</v>
      </c>
      <c r="M5024" s="3" t="str">
        <f>HYPERLINK("..\..\Imagery\ScannedPhotos\1980\NN80-177.jpg")</f>
        <v>..\..\Imagery\ScannedPhotos\1980\NN80-177.jpg</v>
      </c>
    </row>
    <row r="5025" spans="1:13" x14ac:dyDescent="0.25">
      <c r="A5025" t="s">
        <v>10891</v>
      </c>
      <c r="B5025">
        <v>384367</v>
      </c>
      <c r="C5025">
        <v>5979572</v>
      </c>
      <c r="D5025">
        <v>21</v>
      </c>
      <c r="E5025" t="s">
        <v>15</v>
      </c>
      <c r="F5025" t="s">
        <v>11689</v>
      </c>
      <c r="G5025">
        <v>2</v>
      </c>
      <c r="H5025" t="s">
        <v>1316</v>
      </c>
      <c r="I5025" t="s">
        <v>137</v>
      </c>
      <c r="J5025" t="s">
        <v>978</v>
      </c>
      <c r="K5025" t="s">
        <v>20</v>
      </c>
      <c r="L5025" t="s">
        <v>11690</v>
      </c>
      <c r="M5025" s="3" t="str">
        <f>HYPERLINK("..\..\Imagery\ScannedPhotos\1980\NN80-189.2.jpg")</f>
        <v>..\..\Imagery\ScannedPhotos\1980\NN80-189.2.jpg</v>
      </c>
    </row>
    <row r="5026" spans="1:13" x14ac:dyDescent="0.25">
      <c r="A5026" t="s">
        <v>11691</v>
      </c>
      <c r="B5026">
        <v>491248</v>
      </c>
      <c r="C5026">
        <v>5976884</v>
      </c>
      <c r="D5026">
        <v>21</v>
      </c>
      <c r="E5026" t="s">
        <v>15</v>
      </c>
      <c r="F5026" t="s">
        <v>11692</v>
      </c>
      <c r="G5026">
        <v>1</v>
      </c>
      <c r="H5026" t="s">
        <v>46</v>
      </c>
      <c r="I5026" t="s">
        <v>35</v>
      </c>
      <c r="J5026" t="s">
        <v>48</v>
      </c>
      <c r="K5026" t="s">
        <v>20</v>
      </c>
      <c r="L5026" t="s">
        <v>11693</v>
      </c>
      <c r="M5026" s="3" t="str">
        <f>HYPERLINK("..\..\Imagery\ScannedPhotos\1981\GF81-010.jpg")</f>
        <v>..\..\Imagery\ScannedPhotos\1981\GF81-010.jpg</v>
      </c>
    </row>
    <row r="5027" spans="1:13" x14ac:dyDescent="0.25">
      <c r="A5027" t="s">
        <v>11694</v>
      </c>
      <c r="B5027">
        <v>490591</v>
      </c>
      <c r="C5027">
        <v>5976069</v>
      </c>
      <c r="D5027">
        <v>21</v>
      </c>
      <c r="E5027" t="s">
        <v>15</v>
      </c>
      <c r="F5027" t="s">
        <v>11695</v>
      </c>
      <c r="G5027">
        <v>2</v>
      </c>
      <c r="H5027" t="s">
        <v>46</v>
      </c>
      <c r="I5027" t="s">
        <v>69</v>
      </c>
      <c r="J5027" t="s">
        <v>48</v>
      </c>
      <c r="K5027" t="s">
        <v>228</v>
      </c>
      <c r="L5027" t="s">
        <v>11696</v>
      </c>
      <c r="M5027" s="3" t="str">
        <f>HYPERLINK("..\..\Imagery\ScannedPhotos\1981\GF81-014.1.jpg")</f>
        <v>..\..\Imagery\ScannedPhotos\1981\GF81-014.1.jpg</v>
      </c>
    </row>
    <row r="5028" spans="1:13" x14ac:dyDescent="0.25">
      <c r="A5028" t="s">
        <v>11694</v>
      </c>
      <c r="B5028">
        <v>490591</v>
      </c>
      <c r="C5028">
        <v>5976069</v>
      </c>
      <c r="D5028">
        <v>21</v>
      </c>
      <c r="E5028" t="s">
        <v>15</v>
      </c>
      <c r="F5028" t="s">
        <v>11697</v>
      </c>
      <c r="G5028">
        <v>2</v>
      </c>
      <c r="H5028" t="s">
        <v>46</v>
      </c>
      <c r="I5028" t="s">
        <v>74</v>
      </c>
      <c r="J5028" t="s">
        <v>48</v>
      </c>
      <c r="K5028" t="s">
        <v>228</v>
      </c>
      <c r="L5028" t="s">
        <v>11696</v>
      </c>
      <c r="M5028" s="3" t="str">
        <f>HYPERLINK("..\..\Imagery\ScannedPhotos\1981\GF81-014.2.jpg")</f>
        <v>..\..\Imagery\ScannedPhotos\1981\GF81-014.2.jpg</v>
      </c>
    </row>
    <row r="5029" spans="1:13" x14ac:dyDescent="0.25">
      <c r="A5029" t="s">
        <v>11698</v>
      </c>
      <c r="B5029">
        <v>542930</v>
      </c>
      <c r="C5029">
        <v>5739709</v>
      </c>
      <c r="D5029">
        <v>21</v>
      </c>
      <c r="E5029" t="s">
        <v>15</v>
      </c>
      <c r="F5029" t="s">
        <v>11699</v>
      </c>
      <c r="G5029">
        <v>1</v>
      </c>
      <c r="K5029" t="s">
        <v>20</v>
      </c>
      <c r="L5029" t="s">
        <v>10200</v>
      </c>
      <c r="M5029" s="3" t="str">
        <f>HYPERLINK("..\..\Imagery\ScannedPhotos\2003\CG03-020.jpg")</f>
        <v>..\..\Imagery\ScannedPhotos\2003\CG03-020.jpg</v>
      </c>
    </row>
    <row r="5030" spans="1:13" x14ac:dyDescent="0.25">
      <c r="A5030" t="s">
        <v>11700</v>
      </c>
      <c r="B5030">
        <v>387263</v>
      </c>
      <c r="C5030">
        <v>5979687</v>
      </c>
      <c r="D5030">
        <v>21</v>
      </c>
      <c r="E5030" t="s">
        <v>15</v>
      </c>
      <c r="F5030" t="s">
        <v>11701</v>
      </c>
      <c r="G5030">
        <v>2</v>
      </c>
      <c r="H5030" t="s">
        <v>1316</v>
      </c>
      <c r="I5030" t="s">
        <v>119</v>
      </c>
      <c r="J5030" t="s">
        <v>978</v>
      </c>
      <c r="K5030" t="s">
        <v>56</v>
      </c>
      <c r="L5030" t="s">
        <v>11702</v>
      </c>
      <c r="M5030" s="3" t="str">
        <f>HYPERLINK("..\..\Imagery\ScannedPhotos\1980\NN80-234.2.jpg")</f>
        <v>..\..\Imagery\ScannedPhotos\1980\NN80-234.2.jpg</v>
      </c>
    </row>
    <row r="5031" spans="1:13" x14ac:dyDescent="0.25">
      <c r="A5031" t="s">
        <v>11703</v>
      </c>
      <c r="B5031">
        <v>389155</v>
      </c>
      <c r="C5031">
        <v>5980593</v>
      </c>
      <c r="D5031">
        <v>21</v>
      </c>
      <c r="E5031" t="s">
        <v>15</v>
      </c>
      <c r="F5031" t="s">
        <v>11704</v>
      </c>
      <c r="G5031">
        <v>2</v>
      </c>
      <c r="H5031" t="s">
        <v>1316</v>
      </c>
      <c r="I5031" t="s">
        <v>132</v>
      </c>
      <c r="J5031" t="s">
        <v>978</v>
      </c>
      <c r="K5031" t="s">
        <v>20</v>
      </c>
      <c r="L5031" t="s">
        <v>11705</v>
      </c>
      <c r="M5031" s="3" t="str">
        <f>HYPERLINK("..\..\Imagery\ScannedPhotos\1980\NN80-240.2.jpg")</f>
        <v>..\..\Imagery\ScannedPhotos\1980\NN80-240.2.jpg</v>
      </c>
    </row>
    <row r="5032" spans="1:13" x14ac:dyDescent="0.25">
      <c r="A5032" t="s">
        <v>11703</v>
      </c>
      <c r="B5032">
        <v>389155</v>
      </c>
      <c r="C5032">
        <v>5980593</v>
      </c>
      <c r="D5032">
        <v>21</v>
      </c>
      <c r="E5032" t="s">
        <v>15</v>
      </c>
      <c r="F5032" t="s">
        <v>11706</v>
      </c>
      <c r="G5032">
        <v>2</v>
      </c>
      <c r="H5032" t="s">
        <v>1316</v>
      </c>
      <c r="I5032" t="s">
        <v>108</v>
      </c>
      <c r="J5032" t="s">
        <v>978</v>
      </c>
      <c r="K5032" t="s">
        <v>20</v>
      </c>
      <c r="L5032" t="s">
        <v>11705</v>
      </c>
      <c r="M5032" s="3" t="str">
        <f>HYPERLINK("..\..\Imagery\ScannedPhotos\1980\NN80-240.1.jpg")</f>
        <v>..\..\Imagery\ScannedPhotos\1980\NN80-240.1.jpg</v>
      </c>
    </row>
    <row r="5033" spans="1:13" x14ac:dyDescent="0.25">
      <c r="A5033" t="s">
        <v>11707</v>
      </c>
      <c r="B5033">
        <v>390054</v>
      </c>
      <c r="C5033">
        <v>5981547</v>
      </c>
      <c r="D5033">
        <v>21</v>
      </c>
      <c r="E5033" t="s">
        <v>15</v>
      </c>
      <c r="F5033" t="s">
        <v>11708</v>
      </c>
      <c r="G5033">
        <v>1</v>
      </c>
      <c r="H5033" t="s">
        <v>1316</v>
      </c>
      <c r="I5033" t="s">
        <v>129</v>
      </c>
      <c r="J5033" t="s">
        <v>978</v>
      </c>
      <c r="K5033" t="s">
        <v>20</v>
      </c>
      <c r="L5033" t="s">
        <v>11709</v>
      </c>
      <c r="M5033" s="3" t="str">
        <f>HYPERLINK("..\..\Imagery\ScannedPhotos\1980\NN80-243.jpg")</f>
        <v>..\..\Imagery\ScannedPhotos\1980\NN80-243.jpg</v>
      </c>
    </row>
    <row r="5034" spans="1:13" x14ac:dyDescent="0.25">
      <c r="A5034" t="s">
        <v>11710</v>
      </c>
      <c r="B5034">
        <v>390172</v>
      </c>
      <c r="C5034">
        <v>5981719</v>
      </c>
      <c r="D5034">
        <v>21</v>
      </c>
      <c r="E5034" t="s">
        <v>15</v>
      </c>
      <c r="F5034" t="s">
        <v>11711</v>
      </c>
      <c r="G5034">
        <v>2</v>
      </c>
      <c r="H5034" t="s">
        <v>1316</v>
      </c>
      <c r="I5034" t="s">
        <v>147</v>
      </c>
      <c r="J5034" t="s">
        <v>978</v>
      </c>
      <c r="K5034" t="s">
        <v>20</v>
      </c>
      <c r="L5034" t="s">
        <v>7589</v>
      </c>
      <c r="M5034" s="3" t="str">
        <f>HYPERLINK("..\..\Imagery\ScannedPhotos\1980\NN80-244.2.jpg")</f>
        <v>..\..\Imagery\ScannedPhotos\1980\NN80-244.2.jpg</v>
      </c>
    </row>
    <row r="5035" spans="1:13" x14ac:dyDescent="0.25">
      <c r="A5035" t="s">
        <v>11710</v>
      </c>
      <c r="B5035">
        <v>390172</v>
      </c>
      <c r="C5035">
        <v>5981719</v>
      </c>
      <c r="D5035">
        <v>21</v>
      </c>
      <c r="E5035" t="s">
        <v>15</v>
      </c>
      <c r="F5035" t="s">
        <v>11712</v>
      </c>
      <c r="G5035">
        <v>2</v>
      </c>
      <c r="H5035" t="s">
        <v>1316</v>
      </c>
      <c r="I5035" t="s">
        <v>143</v>
      </c>
      <c r="J5035" t="s">
        <v>978</v>
      </c>
      <c r="K5035" t="s">
        <v>20</v>
      </c>
      <c r="L5035" t="s">
        <v>7589</v>
      </c>
      <c r="M5035" s="3" t="str">
        <f>HYPERLINK("..\..\Imagery\ScannedPhotos\1980\NN80-244.1.jpg")</f>
        <v>..\..\Imagery\ScannedPhotos\1980\NN80-244.1.jpg</v>
      </c>
    </row>
    <row r="5036" spans="1:13" x14ac:dyDescent="0.25">
      <c r="A5036" t="s">
        <v>8704</v>
      </c>
      <c r="B5036">
        <v>393441</v>
      </c>
      <c r="C5036">
        <v>5982602</v>
      </c>
      <c r="D5036">
        <v>21</v>
      </c>
      <c r="E5036" t="s">
        <v>15</v>
      </c>
      <c r="F5036" t="s">
        <v>11713</v>
      </c>
      <c r="G5036">
        <v>2</v>
      </c>
      <c r="H5036" t="s">
        <v>1316</v>
      </c>
      <c r="I5036" t="s">
        <v>52</v>
      </c>
      <c r="J5036" t="s">
        <v>978</v>
      </c>
      <c r="K5036" t="s">
        <v>56</v>
      </c>
      <c r="L5036" t="s">
        <v>11714</v>
      </c>
      <c r="M5036" s="3" t="str">
        <f>HYPERLINK("..\..\Imagery\ScannedPhotos\1980\NN80-252.1.jpg")</f>
        <v>..\..\Imagery\ScannedPhotos\1980\NN80-252.1.jpg</v>
      </c>
    </row>
    <row r="5037" spans="1:13" x14ac:dyDescent="0.25">
      <c r="A5037" t="s">
        <v>4197</v>
      </c>
      <c r="B5037">
        <v>446257</v>
      </c>
      <c r="C5037">
        <v>5912629</v>
      </c>
      <c r="D5037">
        <v>21</v>
      </c>
      <c r="E5037" t="s">
        <v>15</v>
      </c>
      <c r="F5037" t="s">
        <v>11715</v>
      </c>
      <c r="G5037">
        <v>5</v>
      </c>
      <c r="H5037" t="s">
        <v>2459</v>
      </c>
      <c r="I5037" t="s">
        <v>85</v>
      </c>
      <c r="J5037" t="s">
        <v>2247</v>
      </c>
      <c r="K5037" t="s">
        <v>20</v>
      </c>
      <c r="L5037" t="s">
        <v>4199</v>
      </c>
      <c r="M5037" s="3" t="str">
        <f>HYPERLINK("..\..\Imagery\ScannedPhotos\1984\NN84-158.3.jpg")</f>
        <v>..\..\Imagery\ScannedPhotos\1984\NN84-158.3.jpg</v>
      </c>
    </row>
    <row r="5038" spans="1:13" x14ac:dyDescent="0.25">
      <c r="A5038" t="s">
        <v>9353</v>
      </c>
      <c r="B5038">
        <v>584097</v>
      </c>
      <c r="C5038">
        <v>5789904</v>
      </c>
      <c r="D5038">
        <v>21</v>
      </c>
      <c r="E5038" t="s">
        <v>15</v>
      </c>
      <c r="F5038" t="s">
        <v>11716</v>
      </c>
      <c r="G5038">
        <v>2</v>
      </c>
      <c r="H5038" t="s">
        <v>2984</v>
      </c>
      <c r="I5038" t="s">
        <v>195</v>
      </c>
      <c r="J5038" t="s">
        <v>19</v>
      </c>
      <c r="K5038" t="s">
        <v>56</v>
      </c>
      <c r="L5038" t="s">
        <v>11717</v>
      </c>
      <c r="M5038" s="3" t="str">
        <f>HYPERLINK("..\..\Imagery\ScannedPhotos\1987\CG87-464.1.jpg")</f>
        <v>..\..\Imagery\ScannedPhotos\1987\CG87-464.1.jpg</v>
      </c>
    </row>
    <row r="5039" spans="1:13" x14ac:dyDescent="0.25">
      <c r="A5039" t="s">
        <v>11718</v>
      </c>
      <c r="B5039">
        <v>517183</v>
      </c>
      <c r="C5039">
        <v>5833553</v>
      </c>
      <c r="D5039">
        <v>21</v>
      </c>
      <c r="E5039" t="s">
        <v>15</v>
      </c>
      <c r="F5039" t="s">
        <v>11719</v>
      </c>
      <c r="G5039">
        <v>2</v>
      </c>
      <c r="H5039" t="s">
        <v>4591</v>
      </c>
      <c r="I5039" t="s">
        <v>41</v>
      </c>
      <c r="J5039" t="s">
        <v>1233</v>
      </c>
      <c r="K5039" t="s">
        <v>20</v>
      </c>
      <c r="L5039" t="s">
        <v>11720</v>
      </c>
      <c r="M5039" s="3" t="str">
        <f>HYPERLINK("..\..\Imagery\ScannedPhotos\1986\SN86-262.2.jpg")</f>
        <v>..\..\Imagery\ScannedPhotos\1986\SN86-262.2.jpg</v>
      </c>
    </row>
    <row r="5040" spans="1:13" x14ac:dyDescent="0.25">
      <c r="A5040" t="s">
        <v>11718</v>
      </c>
      <c r="B5040">
        <v>517183</v>
      </c>
      <c r="C5040">
        <v>5833553</v>
      </c>
      <c r="D5040">
        <v>21</v>
      </c>
      <c r="E5040" t="s">
        <v>15</v>
      </c>
      <c r="F5040" t="s">
        <v>11721</v>
      </c>
      <c r="G5040">
        <v>2</v>
      </c>
      <c r="H5040" t="s">
        <v>4591</v>
      </c>
      <c r="I5040" t="s">
        <v>74</v>
      </c>
      <c r="J5040" t="s">
        <v>1233</v>
      </c>
      <c r="K5040" t="s">
        <v>56</v>
      </c>
      <c r="L5040" t="s">
        <v>11722</v>
      </c>
      <c r="M5040" s="3" t="str">
        <f>HYPERLINK("..\..\Imagery\ScannedPhotos\1986\SN86-262.1.jpg")</f>
        <v>..\..\Imagery\ScannedPhotos\1986\SN86-262.1.jpg</v>
      </c>
    </row>
    <row r="5041" spans="1:13" x14ac:dyDescent="0.25">
      <c r="A5041" t="s">
        <v>4589</v>
      </c>
      <c r="B5041">
        <v>514173</v>
      </c>
      <c r="C5041">
        <v>5827156</v>
      </c>
      <c r="D5041">
        <v>21</v>
      </c>
      <c r="E5041" t="s">
        <v>15</v>
      </c>
      <c r="F5041" t="s">
        <v>11723</v>
      </c>
      <c r="G5041">
        <v>2</v>
      </c>
      <c r="H5041" t="s">
        <v>4591</v>
      </c>
      <c r="I5041" t="s">
        <v>85</v>
      </c>
      <c r="J5041" t="s">
        <v>1233</v>
      </c>
      <c r="K5041" t="s">
        <v>20</v>
      </c>
      <c r="L5041" t="s">
        <v>4592</v>
      </c>
      <c r="M5041" s="3" t="str">
        <f>HYPERLINK("..\..\Imagery\ScannedPhotos\1986\SN86-269.1.jpg")</f>
        <v>..\..\Imagery\ScannedPhotos\1986\SN86-269.1.jpg</v>
      </c>
    </row>
    <row r="5042" spans="1:13" x14ac:dyDescent="0.25">
      <c r="A5042" t="s">
        <v>7207</v>
      </c>
      <c r="B5042">
        <v>581913</v>
      </c>
      <c r="C5042">
        <v>5899217</v>
      </c>
      <c r="D5042">
        <v>21</v>
      </c>
      <c r="E5042" t="s">
        <v>15</v>
      </c>
      <c r="F5042" t="s">
        <v>11724</v>
      </c>
      <c r="G5042">
        <v>6</v>
      </c>
      <c r="H5042" t="s">
        <v>136</v>
      </c>
      <c r="I5042" t="s">
        <v>386</v>
      </c>
      <c r="J5042" t="s">
        <v>138</v>
      </c>
      <c r="K5042" t="s">
        <v>20</v>
      </c>
      <c r="L5042" t="s">
        <v>7211</v>
      </c>
      <c r="M5042" s="3" t="str">
        <f>HYPERLINK("..\..\Imagery\ScannedPhotos\1985\GM85-538.5.jpg")</f>
        <v>..\..\Imagery\ScannedPhotos\1985\GM85-538.5.jpg</v>
      </c>
    </row>
    <row r="5043" spans="1:13" x14ac:dyDescent="0.25">
      <c r="A5043" t="s">
        <v>11725</v>
      </c>
      <c r="B5043">
        <v>450656</v>
      </c>
      <c r="C5043">
        <v>6022368</v>
      </c>
      <c r="D5043">
        <v>21</v>
      </c>
      <c r="E5043" t="s">
        <v>15</v>
      </c>
      <c r="F5043" t="s">
        <v>11726</v>
      </c>
      <c r="G5043">
        <v>1</v>
      </c>
      <c r="H5043" t="s">
        <v>1862</v>
      </c>
      <c r="I5043" t="s">
        <v>132</v>
      </c>
      <c r="J5043" t="s">
        <v>1863</v>
      </c>
      <c r="K5043" t="s">
        <v>20</v>
      </c>
      <c r="L5043" t="s">
        <v>11727</v>
      </c>
      <c r="M5043" s="3" t="str">
        <f>HYPERLINK("..\..\Imagery\ScannedPhotos\1979\CG79-801.jpg")</f>
        <v>..\..\Imagery\ScannedPhotos\1979\CG79-801.jpg</v>
      </c>
    </row>
    <row r="5044" spans="1:13" x14ac:dyDescent="0.25">
      <c r="A5044" t="s">
        <v>11728</v>
      </c>
      <c r="B5044">
        <v>445945</v>
      </c>
      <c r="C5044">
        <v>6024884</v>
      </c>
      <c r="D5044">
        <v>21</v>
      </c>
      <c r="E5044" t="s">
        <v>15</v>
      </c>
      <c r="F5044" t="s">
        <v>11729</v>
      </c>
      <c r="G5044">
        <v>1</v>
      </c>
      <c r="H5044" t="s">
        <v>1862</v>
      </c>
      <c r="I5044" t="s">
        <v>143</v>
      </c>
      <c r="J5044" t="s">
        <v>1863</v>
      </c>
      <c r="K5044" t="s">
        <v>20</v>
      </c>
      <c r="L5044" t="s">
        <v>11730</v>
      </c>
      <c r="M5044" s="3" t="str">
        <f>HYPERLINK("..\..\Imagery\ScannedPhotos\1979\CG79-806.jpg")</f>
        <v>..\..\Imagery\ScannedPhotos\1979\CG79-806.jpg</v>
      </c>
    </row>
    <row r="5045" spans="1:13" x14ac:dyDescent="0.25">
      <c r="A5045" t="s">
        <v>7187</v>
      </c>
      <c r="B5045">
        <v>596537</v>
      </c>
      <c r="C5045">
        <v>5792123</v>
      </c>
      <c r="D5045">
        <v>21</v>
      </c>
      <c r="E5045" t="s">
        <v>15</v>
      </c>
      <c r="F5045" t="s">
        <v>11731</v>
      </c>
      <c r="G5045">
        <v>3</v>
      </c>
      <c r="K5045" t="s">
        <v>228</v>
      </c>
      <c r="L5045" t="s">
        <v>7191</v>
      </c>
      <c r="M5045" s="3" t="str">
        <f>HYPERLINK("..\..\Imagery\ScannedPhotos\2007\CG07-158.3.jpg")</f>
        <v>..\..\Imagery\ScannedPhotos\2007\CG07-158.3.jpg</v>
      </c>
    </row>
    <row r="5046" spans="1:13" x14ac:dyDescent="0.25">
      <c r="A5046" t="s">
        <v>11732</v>
      </c>
      <c r="B5046">
        <v>596544</v>
      </c>
      <c r="C5046">
        <v>5792056</v>
      </c>
      <c r="D5046">
        <v>21</v>
      </c>
      <c r="E5046" t="s">
        <v>15</v>
      </c>
      <c r="F5046" t="s">
        <v>11733</v>
      </c>
      <c r="G5046">
        <v>3</v>
      </c>
      <c r="K5046" t="s">
        <v>20</v>
      </c>
      <c r="L5046" t="s">
        <v>11734</v>
      </c>
      <c r="M5046" s="3" t="str">
        <f>HYPERLINK("..\..\Imagery\ScannedPhotos\2007\CG07-159.1.jpg")</f>
        <v>..\..\Imagery\ScannedPhotos\2007\CG07-159.1.jpg</v>
      </c>
    </row>
    <row r="5047" spans="1:13" x14ac:dyDescent="0.25">
      <c r="A5047" t="s">
        <v>11732</v>
      </c>
      <c r="B5047">
        <v>596544</v>
      </c>
      <c r="C5047">
        <v>5792056</v>
      </c>
      <c r="D5047">
        <v>21</v>
      </c>
      <c r="E5047" t="s">
        <v>15</v>
      </c>
      <c r="F5047" t="s">
        <v>11735</v>
      </c>
      <c r="G5047">
        <v>3</v>
      </c>
      <c r="K5047" t="s">
        <v>56</v>
      </c>
      <c r="L5047" t="s">
        <v>11736</v>
      </c>
      <c r="M5047" s="3" t="str">
        <f>HYPERLINK("..\..\Imagery\ScannedPhotos\2007\CG07-159.3.jpg")</f>
        <v>..\..\Imagery\ScannedPhotos\2007\CG07-159.3.jpg</v>
      </c>
    </row>
    <row r="5048" spans="1:13" x14ac:dyDescent="0.25">
      <c r="A5048" t="s">
        <v>11737</v>
      </c>
      <c r="B5048">
        <v>596513</v>
      </c>
      <c r="C5048">
        <v>5792063</v>
      </c>
      <c r="D5048">
        <v>21</v>
      </c>
      <c r="E5048" t="s">
        <v>15</v>
      </c>
      <c r="F5048" t="s">
        <v>11738</v>
      </c>
      <c r="G5048">
        <v>2</v>
      </c>
      <c r="K5048" t="s">
        <v>56</v>
      </c>
      <c r="L5048" t="s">
        <v>11739</v>
      </c>
      <c r="M5048" s="3" t="str">
        <f>HYPERLINK("..\..\Imagery\ScannedPhotos\2007\CG07-160.1.jpg")</f>
        <v>..\..\Imagery\ScannedPhotos\2007\CG07-160.1.jpg</v>
      </c>
    </row>
    <row r="5049" spans="1:13" x14ac:dyDescent="0.25">
      <c r="A5049" t="s">
        <v>11737</v>
      </c>
      <c r="B5049">
        <v>596513</v>
      </c>
      <c r="C5049">
        <v>5792063</v>
      </c>
      <c r="D5049">
        <v>21</v>
      </c>
      <c r="E5049" t="s">
        <v>15</v>
      </c>
      <c r="F5049" t="s">
        <v>11740</v>
      </c>
      <c r="G5049">
        <v>2</v>
      </c>
      <c r="K5049" t="s">
        <v>20</v>
      </c>
      <c r="L5049" t="s">
        <v>11739</v>
      </c>
      <c r="M5049" s="3" t="str">
        <f>HYPERLINK("..\..\Imagery\ScannedPhotos\2007\CG07-160.2.jpg")</f>
        <v>..\..\Imagery\ScannedPhotos\2007\CG07-160.2.jpg</v>
      </c>
    </row>
    <row r="5050" spans="1:13" x14ac:dyDescent="0.25">
      <c r="A5050" t="s">
        <v>11741</v>
      </c>
      <c r="B5050">
        <v>596564</v>
      </c>
      <c r="C5050">
        <v>5792009</v>
      </c>
      <c r="D5050">
        <v>21</v>
      </c>
      <c r="E5050" t="s">
        <v>15</v>
      </c>
      <c r="F5050" t="s">
        <v>11742</v>
      </c>
      <c r="G5050">
        <v>2</v>
      </c>
      <c r="K5050" t="s">
        <v>20</v>
      </c>
      <c r="L5050" t="s">
        <v>11743</v>
      </c>
      <c r="M5050" s="3" t="str">
        <f>HYPERLINK("..\..\Imagery\ScannedPhotos\2007\CG07-161.1.jpg")</f>
        <v>..\..\Imagery\ScannedPhotos\2007\CG07-161.1.jpg</v>
      </c>
    </row>
    <row r="5051" spans="1:13" x14ac:dyDescent="0.25">
      <c r="A5051" t="s">
        <v>11741</v>
      </c>
      <c r="B5051">
        <v>596564</v>
      </c>
      <c r="C5051">
        <v>5792009</v>
      </c>
      <c r="D5051">
        <v>21</v>
      </c>
      <c r="E5051" t="s">
        <v>15</v>
      </c>
      <c r="F5051" t="s">
        <v>11744</v>
      </c>
      <c r="G5051">
        <v>2</v>
      </c>
      <c r="K5051" t="s">
        <v>20</v>
      </c>
      <c r="L5051" t="s">
        <v>11745</v>
      </c>
      <c r="M5051" s="3" t="str">
        <f>HYPERLINK("..\..\Imagery\ScannedPhotos\2007\CG07-161.2.jpg")</f>
        <v>..\..\Imagery\ScannedPhotos\2007\CG07-161.2.jpg</v>
      </c>
    </row>
    <row r="5052" spans="1:13" x14ac:dyDescent="0.25">
      <c r="A5052" t="s">
        <v>9725</v>
      </c>
      <c r="B5052">
        <v>596599</v>
      </c>
      <c r="C5052">
        <v>5792096</v>
      </c>
      <c r="D5052">
        <v>21</v>
      </c>
      <c r="E5052" t="s">
        <v>15</v>
      </c>
      <c r="F5052" t="s">
        <v>11746</v>
      </c>
      <c r="G5052">
        <v>3</v>
      </c>
      <c r="K5052" t="s">
        <v>56</v>
      </c>
      <c r="L5052" t="s">
        <v>9727</v>
      </c>
      <c r="M5052" s="3" t="str">
        <f>HYPERLINK("..\..\Imagery\ScannedPhotos\2007\CG07-162.1.jpg")</f>
        <v>..\..\Imagery\ScannedPhotos\2007\CG07-162.1.jpg</v>
      </c>
    </row>
    <row r="5053" spans="1:13" x14ac:dyDescent="0.25">
      <c r="A5053" t="s">
        <v>11747</v>
      </c>
      <c r="B5053">
        <v>568379</v>
      </c>
      <c r="C5053">
        <v>5755258</v>
      </c>
      <c r="D5053">
        <v>21</v>
      </c>
      <c r="E5053" t="s">
        <v>15</v>
      </c>
      <c r="F5053" t="s">
        <v>11748</v>
      </c>
      <c r="G5053">
        <v>1</v>
      </c>
      <c r="H5053" t="s">
        <v>2816</v>
      </c>
      <c r="I5053" t="s">
        <v>147</v>
      </c>
      <c r="J5053" t="s">
        <v>1514</v>
      </c>
      <c r="K5053" t="s">
        <v>56</v>
      </c>
      <c r="L5053" t="s">
        <v>11749</v>
      </c>
      <c r="M5053" s="3" t="str">
        <f>HYPERLINK("..\..\Imagery\ScannedPhotos\1993\DL93-359.jpg")</f>
        <v>..\..\Imagery\ScannedPhotos\1993\DL93-359.jpg</v>
      </c>
    </row>
    <row r="5054" spans="1:13" x14ac:dyDescent="0.25">
      <c r="A5054" t="s">
        <v>11750</v>
      </c>
      <c r="B5054">
        <v>571688</v>
      </c>
      <c r="C5054">
        <v>5753194</v>
      </c>
      <c r="D5054">
        <v>21</v>
      </c>
      <c r="E5054" t="s">
        <v>15</v>
      </c>
      <c r="F5054" t="s">
        <v>11751</v>
      </c>
      <c r="G5054">
        <v>1</v>
      </c>
      <c r="H5054" t="s">
        <v>2816</v>
      </c>
      <c r="I5054" t="s">
        <v>401</v>
      </c>
      <c r="J5054" t="s">
        <v>1514</v>
      </c>
      <c r="K5054" t="s">
        <v>56</v>
      </c>
      <c r="L5054" t="s">
        <v>3148</v>
      </c>
      <c r="M5054" s="3" t="str">
        <f>HYPERLINK("..\..\Imagery\ScannedPhotos\1993\DL93-368.jpg")</f>
        <v>..\..\Imagery\ScannedPhotos\1993\DL93-368.jpg</v>
      </c>
    </row>
    <row r="5055" spans="1:13" x14ac:dyDescent="0.25">
      <c r="A5055" t="s">
        <v>11752</v>
      </c>
      <c r="B5055">
        <v>474829</v>
      </c>
      <c r="C5055">
        <v>5823629</v>
      </c>
      <c r="D5055">
        <v>21</v>
      </c>
      <c r="E5055" t="s">
        <v>15</v>
      </c>
      <c r="F5055" t="s">
        <v>11753</v>
      </c>
      <c r="G5055">
        <v>2</v>
      </c>
      <c r="H5055" t="s">
        <v>849</v>
      </c>
      <c r="I5055" t="s">
        <v>114</v>
      </c>
      <c r="J5055" t="s">
        <v>850</v>
      </c>
      <c r="K5055" t="s">
        <v>20</v>
      </c>
      <c r="L5055" t="s">
        <v>11754</v>
      </c>
      <c r="M5055" s="3" t="str">
        <f>HYPERLINK("..\..\Imagery\ScannedPhotos\1991\VN91-195.1.jpg")</f>
        <v>..\..\Imagery\ScannedPhotos\1991\VN91-195.1.jpg</v>
      </c>
    </row>
    <row r="5056" spans="1:13" x14ac:dyDescent="0.25">
      <c r="A5056" t="s">
        <v>11755</v>
      </c>
      <c r="B5056">
        <v>491226</v>
      </c>
      <c r="C5056">
        <v>5869461</v>
      </c>
      <c r="D5056">
        <v>21</v>
      </c>
      <c r="E5056" t="s">
        <v>15</v>
      </c>
      <c r="F5056" t="s">
        <v>11756</v>
      </c>
      <c r="G5056">
        <v>1</v>
      </c>
      <c r="H5056" t="s">
        <v>3330</v>
      </c>
      <c r="I5056" t="s">
        <v>147</v>
      </c>
      <c r="J5056" t="s">
        <v>850</v>
      </c>
      <c r="K5056" t="s">
        <v>56</v>
      </c>
      <c r="L5056" t="s">
        <v>322</v>
      </c>
      <c r="M5056" s="3" t="str">
        <f>HYPERLINK("..\..\Imagery\ScannedPhotos\1991\DD91-020.jpg")</f>
        <v>..\..\Imagery\ScannedPhotos\1991\DD91-020.jpg</v>
      </c>
    </row>
    <row r="5057" spans="1:14" x14ac:dyDescent="0.25">
      <c r="A5057" t="s">
        <v>11757</v>
      </c>
      <c r="B5057">
        <v>490228</v>
      </c>
      <c r="C5057">
        <v>5868575</v>
      </c>
      <c r="D5057">
        <v>21</v>
      </c>
      <c r="E5057" t="s">
        <v>15</v>
      </c>
      <c r="F5057" t="s">
        <v>11758</v>
      </c>
      <c r="G5057">
        <v>2</v>
      </c>
      <c r="H5057" t="s">
        <v>3330</v>
      </c>
      <c r="I5057" t="s">
        <v>52</v>
      </c>
      <c r="J5057" t="s">
        <v>850</v>
      </c>
      <c r="K5057" t="s">
        <v>20</v>
      </c>
      <c r="L5057" t="s">
        <v>8421</v>
      </c>
      <c r="M5057" s="3" t="str">
        <f>HYPERLINK("..\..\Imagery\ScannedPhotos\1991\DD91-021.2.jpg")</f>
        <v>..\..\Imagery\ScannedPhotos\1991\DD91-021.2.jpg</v>
      </c>
    </row>
    <row r="5058" spans="1:14" x14ac:dyDescent="0.25">
      <c r="A5058" t="s">
        <v>11757</v>
      </c>
      <c r="B5058">
        <v>490228</v>
      </c>
      <c r="C5058">
        <v>5868575</v>
      </c>
      <c r="D5058">
        <v>21</v>
      </c>
      <c r="E5058" t="s">
        <v>15</v>
      </c>
      <c r="F5058" t="s">
        <v>11759</v>
      </c>
      <c r="G5058">
        <v>2</v>
      </c>
      <c r="H5058" t="s">
        <v>3330</v>
      </c>
      <c r="I5058" t="s">
        <v>47</v>
      </c>
      <c r="J5058" t="s">
        <v>850</v>
      </c>
      <c r="K5058" t="s">
        <v>20</v>
      </c>
      <c r="L5058" t="s">
        <v>8421</v>
      </c>
      <c r="M5058" s="3" t="str">
        <f>HYPERLINK("..\..\Imagery\ScannedPhotos\1991\DD91-021.1.jpg")</f>
        <v>..\..\Imagery\ScannedPhotos\1991\DD91-021.1.jpg</v>
      </c>
    </row>
    <row r="5059" spans="1:14" x14ac:dyDescent="0.25">
      <c r="A5059" t="s">
        <v>11760</v>
      </c>
      <c r="B5059">
        <v>489739</v>
      </c>
      <c r="C5059">
        <v>5868100</v>
      </c>
      <c r="D5059">
        <v>21</v>
      </c>
      <c r="E5059" t="s">
        <v>15</v>
      </c>
      <c r="F5059" t="s">
        <v>11761</v>
      </c>
      <c r="G5059">
        <v>1</v>
      </c>
      <c r="H5059" t="s">
        <v>3330</v>
      </c>
      <c r="I5059" t="s">
        <v>65</v>
      </c>
      <c r="J5059" t="s">
        <v>850</v>
      </c>
      <c r="K5059" t="s">
        <v>20</v>
      </c>
      <c r="L5059" t="s">
        <v>3743</v>
      </c>
      <c r="M5059" s="3" t="str">
        <f>HYPERLINK("..\..\Imagery\ScannedPhotos\1991\DD91-022.jpg")</f>
        <v>..\..\Imagery\ScannedPhotos\1991\DD91-022.jpg</v>
      </c>
    </row>
    <row r="5060" spans="1:14" x14ac:dyDescent="0.25">
      <c r="A5060" t="s">
        <v>11762</v>
      </c>
      <c r="B5060">
        <v>487276</v>
      </c>
      <c r="C5060">
        <v>5867020</v>
      </c>
      <c r="D5060">
        <v>21</v>
      </c>
      <c r="E5060" t="s">
        <v>15</v>
      </c>
      <c r="F5060" t="s">
        <v>11763</v>
      </c>
      <c r="G5060">
        <v>1</v>
      </c>
      <c r="H5060" t="s">
        <v>3330</v>
      </c>
      <c r="I5060" t="s">
        <v>401</v>
      </c>
      <c r="J5060" t="s">
        <v>850</v>
      </c>
      <c r="K5060" t="s">
        <v>20</v>
      </c>
      <c r="L5060" t="s">
        <v>11764</v>
      </c>
      <c r="M5060" s="3" t="str">
        <f>HYPERLINK("..\..\Imagery\ScannedPhotos\1991\DD91-023.jpg")</f>
        <v>..\..\Imagery\ScannedPhotos\1991\DD91-023.jpg</v>
      </c>
    </row>
    <row r="5061" spans="1:14" x14ac:dyDescent="0.25">
      <c r="A5061" t="s">
        <v>11765</v>
      </c>
      <c r="B5061">
        <v>488253</v>
      </c>
      <c r="C5061">
        <v>5865619</v>
      </c>
      <c r="D5061">
        <v>21</v>
      </c>
      <c r="E5061" t="s">
        <v>15</v>
      </c>
      <c r="F5061" t="s">
        <v>11766</v>
      </c>
      <c r="G5061">
        <v>1</v>
      </c>
      <c r="H5061" t="s">
        <v>616</v>
      </c>
      <c r="I5061" t="s">
        <v>294</v>
      </c>
      <c r="J5061" t="s">
        <v>413</v>
      </c>
      <c r="K5061" t="s">
        <v>20</v>
      </c>
      <c r="L5061" t="s">
        <v>11767</v>
      </c>
      <c r="M5061" s="3" t="str">
        <f>HYPERLINK("..\..\Imagery\ScannedPhotos\1991\DD91-024.jpg")</f>
        <v>..\..\Imagery\ScannedPhotos\1991\DD91-024.jpg</v>
      </c>
    </row>
    <row r="5062" spans="1:14" x14ac:dyDescent="0.25">
      <c r="A5062" t="s">
        <v>8044</v>
      </c>
      <c r="B5062">
        <v>585387</v>
      </c>
      <c r="C5062">
        <v>5770466</v>
      </c>
      <c r="D5062">
        <v>21</v>
      </c>
      <c r="E5062" t="s">
        <v>15</v>
      </c>
      <c r="F5062" t="s">
        <v>11768</v>
      </c>
      <c r="G5062">
        <v>2</v>
      </c>
      <c r="H5062" t="s">
        <v>1066</v>
      </c>
      <c r="I5062" t="s">
        <v>25</v>
      </c>
      <c r="J5062" t="s">
        <v>36</v>
      </c>
      <c r="K5062" t="s">
        <v>20</v>
      </c>
      <c r="L5062" t="s">
        <v>11769</v>
      </c>
      <c r="M5062" s="3" t="str">
        <f>HYPERLINK("..\..\Imagery\ScannedPhotos\1987\CG87-433.2.jpg")</f>
        <v>..\..\Imagery\ScannedPhotos\1987\CG87-433.2.jpg</v>
      </c>
    </row>
    <row r="5063" spans="1:14" x14ac:dyDescent="0.25">
      <c r="A5063" t="s">
        <v>11770</v>
      </c>
      <c r="B5063">
        <v>431591</v>
      </c>
      <c r="C5063">
        <v>5789516</v>
      </c>
      <c r="D5063">
        <v>21</v>
      </c>
      <c r="E5063" t="s">
        <v>15</v>
      </c>
      <c r="F5063" t="s">
        <v>11771</v>
      </c>
      <c r="G5063">
        <v>2</v>
      </c>
      <c r="H5063" t="s">
        <v>738</v>
      </c>
      <c r="I5063" t="s">
        <v>137</v>
      </c>
      <c r="J5063" t="s">
        <v>739</v>
      </c>
      <c r="K5063" t="s">
        <v>20</v>
      </c>
      <c r="L5063" t="s">
        <v>11772</v>
      </c>
      <c r="M5063" s="3" t="str">
        <f>HYPERLINK("..\..\Imagery\ScannedPhotos\1999\CG99-008.2.jpg")</f>
        <v>..\..\Imagery\ScannedPhotos\1999\CG99-008.2.jpg</v>
      </c>
    </row>
    <row r="5064" spans="1:14" x14ac:dyDescent="0.25">
      <c r="A5064" t="s">
        <v>11773</v>
      </c>
      <c r="B5064">
        <v>322925</v>
      </c>
      <c r="C5064">
        <v>5829000</v>
      </c>
      <c r="D5064">
        <v>21</v>
      </c>
      <c r="E5064" t="s">
        <v>15</v>
      </c>
      <c r="F5064" t="s">
        <v>11774</v>
      </c>
      <c r="G5064">
        <v>1</v>
      </c>
      <c r="H5064" t="s">
        <v>5833</v>
      </c>
      <c r="I5064" t="s">
        <v>119</v>
      </c>
      <c r="J5064" t="s">
        <v>260</v>
      </c>
      <c r="K5064" t="s">
        <v>56</v>
      </c>
      <c r="L5064" t="s">
        <v>11775</v>
      </c>
      <c r="M5064" s="3" t="str">
        <f>HYPERLINK("..\..\Imagery\ScannedPhotos\1998\CG98-283.jpg")</f>
        <v>..\..\Imagery\ScannedPhotos\1998\CG98-283.jpg</v>
      </c>
    </row>
    <row r="5065" spans="1:14" x14ac:dyDescent="0.25">
      <c r="A5065" t="s">
        <v>362</v>
      </c>
      <c r="B5065">
        <v>386221</v>
      </c>
      <c r="C5065">
        <v>6114947</v>
      </c>
      <c r="D5065">
        <v>21</v>
      </c>
      <c r="E5065" t="s">
        <v>15</v>
      </c>
      <c r="F5065" t="s">
        <v>11776</v>
      </c>
      <c r="G5065">
        <v>2</v>
      </c>
      <c r="H5065" t="s">
        <v>354</v>
      </c>
      <c r="I5065" t="s">
        <v>114</v>
      </c>
      <c r="J5065" t="s">
        <v>355</v>
      </c>
      <c r="K5065" t="s">
        <v>20</v>
      </c>
      <c r="L5065" t="s">
        <v>11777</v>
      </c>
      <c r="M5065" s="3" t="str">
        <f>HYPERLINK("..\..\Imagery\ScannedPhotos\1979\AD79-058.1E.jpg")</f>
        <v>..\..\Imagery\ScannedPhotos\1979\AD79-058.1E.jpg</v>
      </c>
      <c r="N5065" t="s">
        <v>1808</v>
      </c>
    </row>
    <row r="5066" spans="1:14" x14ac:dyDescent="0.25">
      <c r="A5066" t="s">
        <v>11778</v>
      </c>
      <c r="B5066">
        <v>421318</v>
      </c>
      <c r="C5066">
        <v>6080761</v>
      </c>
      <c r="D5066">
        <v>21</v>
      </c>
      <c r="E5066" t="s">
        <v>15</v>
      </c>
      <c r="F5066" t="s">
        <v>11779</v>
      </c>
      <c r="G5066">
        <v>1</v>
      </c>
      <c r="H5066" t="s">
        <v>1207</v>
      </c>
      <c r="I5066" t="s">
        <v>304</v>
      </c>
      <c r="J5066" t="s">
        <v>1208</v>
      </c>
      <c r="K5066" t="s">
        <v>20</v>
      </c>
      <c r="L5066" t="s">
        <v>11780</v>
      </c>
      <c r="M5066" s="3" t="str">
        <f>HYPERLINK("..\..\Imagery\ScannedPhotos\1979\CG79-080cropped.jpg")</f>
        <v>..\..\Imagery\ScannedPhotos\1979\CG79-080cropped.jpg</v>
      </c>
      <c r="N5066" t="s">
        <v>4297</v>
      </c>
    </row>
    <row r="5067" spans="1:14" x14ac:dyDescent="0.25">
      <c r="A5067" t="s">
        <v>11781</v>
      </c>
      <c r="B5067">
        <v>404751</v>
      </c>
      <c r="C5067">
        <v>6069777</v>
      </c>
      <c r="D5067">
        <v>21</v>
      </c>
      <c r="E5067" t="s">
        <v>15</v>
      </c>
      <c r="F5067" t="s">
        <v>11782</v>
      </c>
      <c r="G5067">
        <v>1</v>
      </c>
      <c r="H5067" t="s">
        <v>1207</v>
      </c>
      <c r="I5067" t="s">
        <v>30</v>
      </c>
      <c r="J5067" t="s">
        <v>1208</v>
      </c>
      <c r="K5067" t="s">
        <v>228</v>
      </c>
      <c r="L5067" t="s">
        <v>11783</v>
      </c>
      <c r="M5067" s="3" t="str">
        <f>HYPERLINK("..\..\Imagery\ScannedPhotos\1979\CG79-090E.jpg")</f>
        <v>..\..\Imagery\ScannedPhotos\1979\CG79-090E.jpg</v>
      </c>
      <c r="N5067" t="s">
        <v>1808</v>
      </c>
    </row>
    <row r="5068" spans="1:14" x14ac:dyDescent="0.25">
      <c r="A5068" t="s">
        <v>11784</v>
      </c>
      <c r="B5068">
        <v>403686</v>
      </c>
      <c r="C5068">
        <v>6068657</v>
      </c>
      <c r="D5068">
        <v>21</v>
      </c>
      <c r="E5068" t="s">
        <v>15</v>
      </c>
      <c r="F5068" t="s">
        <v>11785</v>
      </c>
      <c r="G5068">
        <v>1</v>
      </c>
      <c r="H5068" t="s">
        <v>1207</v>
      </c>
      <c r="I5068" t="s">
        <v>114</v>
      </c>
      <c r="J5068" t="s">
        <v>1208</v>
      </c>
      <c r="K5068" t="s">
        <v>228</v>
      </c>
      <c r="L5068" t="s">
        <v>11786</v>
      </c>
      <c r="M5068" s="3" t="str">
        <f>HYPERLINK("..\..\Imagery\ScannedPhotos\1979\CG79-093E.jpg")</f>
        <v>..\..\Imagery\ScannedPhotos\1979\CG79-093E.jpg</v>
      </c>
      <c r="N5068" t="s">
        <v>1808</v>
      </c>
    </row>
    <row r="5069" spans="1:14" x14ac:dyDescent="0.25">
      <c r="A5069" t="s">
        <v>11787</v>
      </c>
      <c r="B5069">
        <v>402761</v>
      </c>
      <c r="C5069">
        <v>6067163</v>
      </c>
      <c r="D5069">
        <v>21</v>
      </c>
      <c r="E5069" t="s">
        <v>15</v>
      </c>
      <c r="F5069" t="s">
        <v>11788</v>
      </c>
      <c r="G5069">
        <v>2</v>
      </c>
      <c r="H5069" t="s">
        <v>1207</v>
      </c>
      <c r="I5069" t="s">
        <v>119</v>
      </c>
      <c r="J5069" t="s">
        <v>1208</v>
      </c>
      <c r="K5069" t="s">
        <v>228</v>
      </c>
      <c r="L5069" t="s">
        <v>11789</v>
      </c>
      <c r="M5069" s="3" t="str">
        <f>HYPERLINK("..\..\Imagery\ScannedPhotos\1979\CG79-096.1E.jpg")</f>
        <v>..\..\Imagery\ScannedPhotos\1979\CG79-096.1E.jpg</v>
      </c>
      <c r="N5069" t="s">
        <v>1808</v>
      </c>
    </row>
    <row r="5070" spans="1:14" x14ac:dyDescent="0.25">
      <c r="A5070" t="s">
        <v>11787</v>
      </c>
      <c r="B5070">
        <v>402761</v>
      </c>
      <c r="C5070">
        <v>6067163</v>
      </c>
      <c r="D5070">
        <v>21</v>
      </c>
      <c r="E5070" t="s">
        <v>15</v>
      </c>
      <c r="F5070" t="s">
        <v>11790</v>
      </c>
      <c r="G5070">
        <v>2</v>
      </c>
      <c r="H5070" t="s">
        <v>1207</v>
      </c>
      <c r="I5070" t="s">
        <v>122</v>
      </c>
      <c r="J5070" t="s">
        <v>1208</v>
      </c>
      <c r="K5070" t="s">
        <v>228</v>
      </c>
      <c r="L5070" t="s">
        <v>11791</v>
      </c>
      <c r="M5070" s="3" t="str">
        <f>HYPERLINK("..\..\Imagery\ScannedPhotos\1979\CG79-096.2E.jpg")</f>
        <v>..\..\Imagery\ScannedPhotos\1979\CG79-096.2E.jpg</v>
      </c>
      <c r="N5070" t="s">
        <v>1808</v>
      </c>
    </row>
    <row r="5071" spans="1:14" x14ac:dyDescent="0.25">
      <c r="A5071" t="s">
        <v>11792</v>
      </c>
      <c r="B5071">
        <v>410938</v>
      </c>
      <c r="C5071">
        <v>6071560</v>
      </c>
      <c r="D5071">
        <v>21</v>
      </c>
      <c r="E5071" t="s">
        <v>15</v>
      </c>
      <c r="F5071" t="s">
        <v>11793</v>
      </c>
      <c r="G5071">
        <v>1</v>
      </c>
      <c r="H5071" t="s">
        <v>1207</v>
      </c>
      <c r="I5071" t="s">
        <v>129</v>
      </c>
      <c r="J5071" t="s">
        <v>1208</v>
      </c>
      <c r="K5071" t="s">
        <v>20</v>
      </c>
      <c r="L5071" t="s">
        <v>11794</v>
      </c>
      <c r="M5071" s="3" t="str">
        <f>HYPERLINK("..\..\Imagery\ScannedPhotos\1979\CG79-113cropped.jpg")</f>
        <v>..\..\Imagery\ScannedPhotos\1979\CG79-113cropped.jpg</v>
      </c>
      <c r="N5071" t="s">
        <v>4297</v>
      </c>
    </row>
    <row r="5072" spans="1:14" x14ac:dyDescent="0.25">
      <c r="A5072" t="s">
        <v>10968</v>
      </c>
      <c r="B5072">
        <v>419229</v>
      </c>
      <c r="C5072">
        <v>6072527</v>
      </c>
      <c r="D5072">
        <v>21</v>
      </c>
      <c r="E5072" t="s">
        <v>15</v>
      </c>
      <c r="F5072" t="s">
        <v>11795</v>
      </c>
      <c r="G5072">
        <v>2</v>
      </c>
      <c r="H5072" t="s">
        <v>1207</v>
      </c>
      <c r="I5072" t="s">
        <v>143</v>
      </c>
      <c r="J5072" t="s">
        <v>1208</v>
      </c>
      <c r="K5072" t="s">
        <v>20</v>
      </c>
      <c r="L5072" t="s">
        <v>11796</v>
      </c>
      <c r="M5072" s="3" t="str">
        <f>HYPERLINK("..\..\Imagery\ScannedPhotos\1979\CG79-118.1cropped.jpg")</f>
        <v>..\..\Imagery\ScannedPhotos\1979\CG79-118.1cropped.jpg</v>
      </c>
      <c r="N5072" t="s">
        <v>4297</v>
      </c>
    </row>
    <row r="5073" spans="1:14" x14ac:dyDescent="0.25">
      <c r="A5073" t="s">
        <v>7301</v>
      </c>
      <c r="B5073">
        <v>439140</v>
      </c>
      <c r="C5073">
        <v>5763445</v>
      </c>
      <c r="D5073">
        <v>21</v>
      </c>
      <c r="E5073" t="s">
        <v>15</v>
      </c>
      <c r="F5073" t="s">
        <v>11797</v>
      </c>
      <c r="G5073">
        <v>5</v>
      </c>
      <c r="H5073" t="s">
        <v>904</v>
      </c>
      <c r="I5073" t="s">
        <v>360</v>
      </c>
      <c r="J5073" t="s">
        <v>905</v>
      </c>
      <c r="K5073" t="s">
        <v>56</v>
      </c>
      <c r="L5073" t="s">
        <v>9891</v>
      </c>
      <c r="M5073" s="3" t="str">
        <f>HYPERLINK("..\..\Imagery\ScannedPhotos\1992\VN92-223.1cropped.jpg")</f>
        <v>..\..\Imagery\ScannedPhotos\1992\VN92-223.1cropped.jpg</v>
      </c>
      <c r="N5073" t="s">
        <v>4297</v>
      </c>
    </row>
    <row r="5074" spans="1:14" x14ac:dyDescent="0.25">
      <c r="A5074" t="s">
        <v>11798</v>
      </c>
      <c r="B5074">
        <v>481925</v>
      </c>
      <c r="C5074">
        <v>5801218</v>
      </c>
      <c r="D5074">
        <v>21</v>
      </c>
      <c r="E5074" t="s">
        <v>15</v>
      </c>
      <c r="F5074" t="s">
        <v>11799</v>
      </c>
      <c r="G5074">
        <v>1</v>
      </c>
      <c r="H5074" t="s">
        <v>813</v>
      </c>
      <c r="I5074" t="s">
        <v>143</v>
      </c>
      <c r="J5074" t="s">
        <v>814</v>
      </c>
      <c r="K5074" t="s">
        <v>228</v>
      </c>
      <c r="L5074" t="s">
        <v>11800</v>
      </c>
      <c r="M5074" s="3" t="str">
        <f>HYPERLINK("..\..\Imagery\ScannedPhotos\1992\CG92-088E.jpg")</f>
        <v>..\..\Imagery\ScannedPhotos\1992\CG92-088E.jpg</v>
      </c>
      <c r="N5074" t="s">
        <v>1808</v>
      </c>
    </row>
    <row r="5075" spans="1:14" x14ac:dyDescent="0.25">
      <c r="A5075" t="s">
        <v>10249</v>
      </c>
      <c r="B5075">
        <v>433890</v>
      </c>
      <c r="C5075">
        <v>5789009</v>
      </c>
      <c r="D5075">
        <v>21</v>
      </c>
      <c r="E5075" t="s">
        <v>15</v>
      </c>
      <c r="F5075" t="s">
        <v>11801</v>
      </c>
      <c r="G5075">
        <v>2</v>
      </c>
      <c r="H5075" t="s">
        <v>1107</v>
      </c>
      <c r="I5075" t="s">
        <v>281</v>
      </c>
      <c r="J5075" t="s">
        <v>747</v>
      </c>
      <c r="K5075" t="s">
        <v>535</v>
      </c>
      <c r="L5075" t="s">
        <v>11802</v>
      </c>
      <c r="M5075" s="3" t="str">
        <f>HYPERLINK("..\..\Imagery\ScannedPhotos\1992\CG92-112.2E.jpg")</f>
        <v>..\..\Imagery\ScannedPhotos\1992\CG92-112.2E.jpg</v>
      </c>
      <c r="N5075" t="s">
        <v>1808</v>
      </c>
    </row>
    <row r="5076" spans="1:14" x14ac:dyDescent="0.25">
      <c r="A5076" t="s">
        <v>11803</v>
      </c>
      <c r="B5076">
        <v>462280</v>
      </c>
      <c r="C5076">
        <v>5785028</v>
      </c>
      <c r="D5076">
        <v>21</v>
      </c>
      <c r="E5076" t="s">
        <v>15</v>
      </c>
      <c r="F5076" t="s">
        <v>11804</v>
      </c>
      <c r="G5076">
        <v>1</v>
      </c>
      <c r="H5076" t="s">
        <v>2439</v>
      </c>
      <c r="I5076" t="s">
        <v>360</v>
      </c>
      <c r="J5076" t="s">
        <v>2440</v>
      </c>
      <c r="K5076" t="s">
        <v>228</v>
      </c>
      <c r="L5076" t="s">
        <v>11805</v>
      </c>
      <c r="M5076" s="3" t="str">
        <f>HYPERLINK("..\..\Imagery\ScannedPhotos\1992\CG92-130E.jpg")</f>
        <v>..\..\Imagery\ScannedPhotos\1992\CG92-130E.jpg</v>
      </c>
      <c r="N5076" t="s">
        <v>1808</v>
      </c>
    </row>
    <row r="5077" spans="1:14" x14ac:dyDescent="0.25">
      <c r="A5077" t="s">
        <v>11806</v>
      </c>
      <c r="B5077">
        <v>481675</v>
      </c>
      <c r="C5077">
        <v>5799800</v>
      </c>
      <c r="D5077">
        <v>21</v>
      </c>
      <c r="E5077" t="s">
        <v>15</v>
      </c>
      <c r="F5077" t="s">
        <v>11807</v>
      </c>
      <c r="G5077">
        <v>1</v>
      </c>
      <c r="H5077" t="s">
        <v>2439</v>
      </c>
      <c r="I5077" t="s">
        <v>195</v>
      </c>
      <c r="J5077" t="s">
        <v>2440</v>
      </c>
      <c r="K5077" t="s">
        <v>228</v>
      </c>
      <c r="L5077" t="s">
        <v>11808</v>
      </c>
      <c r="M5077" s="3" t="str">
        <f>HYPERLINK("..\..\Imagery\ScannedPhotos\1992\HP92-051E.jpg")</f>
        <v>..\..\Imagery\ScannedPhotos\1992\HP92-051E.jpg</v>
      </c>
      <c r="N5077" t="s">
        <v>1808</v>
      </c>
    </row>
    <row r="5078" spans="1:14" x14ac:dyDescent="0.25">
      <c r="A5078" t="s">
        <v>2338</v>
      </c>
      <c r="B5078">
        <v>498459</v>
      </c>
      <c r="C5078">
        <v>5791161</v>
      </c>
      <c r="D5078">
        <v>21</v>
      </c>
      <c r="E5078" t="s">
        <v>15</v>
      </c>
      <c r="F5078" t="s">
        <v>11809</v>
      </c>
      <c r="G5078">
        <v>6</v>
      </c>
      <c r="H5078" t="s">
        <v>2340</v>
      </c>
      <c r="I5078" t="s">
        <v>360</v>
      </c>
      <c r="J5078" t="s">
        <v>2341</v>
      </c>
      <c r="K5078" t="s">
        <v>20</v>
      </c>
      <c r="L5078" t="s">
        <v>11810</v>
      </c>
      <c r="M5078" s="3" t="str">
        <f>HYPERLINK("..\..\Imagery\ScannedPhotos\1992\HP92-082.4E.jpg")</f>
        <v>..\..\Imagery\ScannedPhotos\1992\HP92-082.4E.jpg</v>
      </c>
      <c r="N5078" t="s">
        <v>1808</v>
      </c>
    </row>
    <row r="5079" spans="1:14" x14ac:dyDescent="0.25">
      <c r="A5079" t="s">
        <v>11455</v>
      </c>
      <c r="B5079">
        <v>443818</v>
      </c>
      <c r="C5079">
        <v>5773811</v>
      </c>
      <c r="D5079">
        <v>21</v>
      </c>
      <c r="E5079" t="s">
        <v>15</v>
      </c>
      <c r="F5079" t="s">
        <v>11811</v>
      </c>
      <c r="G5079">
        <v>9</v>
      </c>
      <c r="H5079" t="s">
        <v>9755</v>
      </c>
      <c r="I5079" t="s">
        <v>209</v>
      </c>
      <c r="J5079" t="s">
        <v>9756</v>
      </c>
      <c r="K5079" t="s">
        <v>935</v>
      </c>
      <c r="L5079" t="s">
        <v>11812</v>
      </c>
      <c r="M5079" s="3" t="str">
        <f>HYPERLINK("..\..\Imagery\ScannedPhotos\1992\HP92-143.4E.jpg")</f>
        <v>..\..\Imagery\ScannedPhotos\1992\HP92-143.4E.jpg</v>
      </c>
      <c r="N5079" t="s">
        <v>1808</v>
      </c>
    </row>
    <row r="5080" spans="1:14" x14ac:dyDescent="0.25">
      <c r="A5080" t="s">
        <v>11455</v>
      </c>
      <c r="B5080">
        <v>443818</v>
      </c>
      <c r="C5080">
        <v>5773811</v>
      </c>
      <c r="D5080">
        <v>21</v>
      </c>
      <c r="E5080" t="s">
        <v>15</v>
      </c>
      <c r="F5080" t="s">
        <v>11813</v>
      </c>
      <c r="G5080">
        <v>9</v>
      </c>
      <c r="H5080" t="s">
        <v>9755</v>
      </c>
      <c r="I5080" t="s">
        <v>214</v>
      </c>
      <c r="J5080" t="s">
        <v>9756</v>
      </c>
      <c r="K5080" t="s">
        <v>935</v>
      </c>
      <c r="L5080" t="s">
        <v>11814</v>
      </c>
      <c r="M5080" s="3" t="str">
        <f>HYPERLINK("..\..\Imagery\ScannedPhotos\1992\HP92-143.6E.jpg")</f>
        <v>..\..\Imagery\ScannedPhotos\1992\HP92-143.6E.jpg</v>
      </c>
      <c r="N5080" t="s">
        <v>1808</v>
      </c>
    </row>
    <row r="5081" spans="1:14" x14ac:dyDescent="0.25">
      <c r="A5081" t="s">
        <v>11455</v>
      </c>
      <c r="B5081">
        <v>443818</v>
      </c>
      <c r="C5081">
        <v>5773811</v>
      </c>
      <c r="D5081">
        <v>21</v>
      </c>
      <c r="E5081" t="s">
        <v>15</v>
      </c>
      <c r="F5081" t="s">
        <v>11815</v>
      </c>
      <c r="G5081">
        <v>9</v>
      </c>
      <c r="H5081" t="s">
        <v>9755</v>
      </c>
      <c r="I5081" t="s">
        <v>304</v>
      </c>
      <c r="J5081" t="s">
        <v>9756</v>
      </c>
      <c r="K5081" t="s">
        <v>228</v>
      </c>
      <c r="L5081" t="s">
        <v>11816</v>
      </c>
      <c r="M5081" s="3" t="str">
        <f>HYPERLINK("..\..\Imagery\ScannedPhotos\1992\HP92-143.9E.jpg")</f>
        <v>..\..\Imagery\ScannedPhotos\1992\HP92-143.9E.jpg</v>
      </c>
      <c r="N5081" t="s">
        <v>1808</v>
      </c>
    </row>
    <row r="5082" spans="1:14" x14ac:dyDescent="0.25">
      <c r="A5082" t="s">
        <v>6425</v>
      </c>
      <c r="B5082">
        <v>439301</v>
      </c>
      <c r="C5082">
        <v>5776524</v>
      </c>
      <c r="D5082">
        <v>21</v>
      </c>
      <c r="E5082" t="s">
        <v>15</v>
      </c>
      <c r="F5082" t="s">
        <v>11817</v>
      </c>
      <c r="G5082">
        <v>2</v>
      </c>
      <c r="H5082" t="s">
        <v>2563</v>
      </c>
      <c r="I5082" t="s">
        <v>375</v>
      </c>
      <c r="J5082" t="s">
        <v>905</v>
      </c>
      <c r="K5082" t="s">
        <v>228</v>
      </c>
      <c r="L5082" t="s">
        <v>6427</v>
      </c>
      <c r="M5082" s="3" t="str">
        <f>HYPERLINK("..\..\Imagery\ScannedPhotos\1992\JA92-120.2E.jpg")</f>
        <v>..\..\Imagery\ScannedPhotos\1992\JA92-120.2E.jpg</v>
      </c>
      <c r="N5082" t="s">
        <v>1808</v>
      </c>
    </row>
    <row r="5083" spans="1:14" x14ac:dyDescent="0.25">
      <c r="A5083" t="s">
        <v>11163</v>
      </c>
      <c r="B5083">
        <v>439909</v>
      </c>
      <c r="C5083">
        <v>5775371</v>
      </c>
      <c r="D5083">
        <v>21</v>
      </c>
      <c r="E5083" t="s">
        <v>15</v>
      </c>
      <c r="F5083" t="s">
        <v>11818</v>
      </c>
      <c r="G5083">
        <v>5</v>
      </c>
      <c r="H5083" t="s">
        <v>2439</v>
      </c>
      <c r="I5083" t="s">
        <v>119</v>
      </c>
      <c r="J5083" t="s">
        <v>2440</v>
      </c>
      <c r="K5083" t="s">
        <v>228</v>
      </c>
      <c r="L5083" t="s">
        <v>11819</v>
      </c>
      <c r="M5083" s="3" t="str">
        <f>HYPERLINK("..\..\Imagery\ScannedPhotos\1992\JA92-124.5E.jpg")</f>
        <v>..\..\Imagery\ScannedPhotos\1992\JA92-124.5E.jpg</v>
      </c>
      <c r="N5083" t="s">
        <v>1808</v>
      </c>
    </row>
    <row r="5084" spans="1:14" x14ac:dyDescent="0.25">
      <c r="A5084" t="s">
        <v>4074</v>
      </c>
      <c r="B5084">
        <v>445850</v>
      </c>
      <c r="C5084">
        <v>5771550</v>
      </c>
      <c r="D5084">
        <v>21</v>
      </c>
      <c r="E5084" t="s">
        <v>15</v>
      </c>
      <c r="F5084" t="s">
        <v>11820</v>
      </c>
      <c r="G5084">
        <v>15</v>
      </c>
      <c r="H5084" t="s">
        <v>2439</v>
      </c>
      <c r="I5084" t="s">
        <v>122</v>
      </c>
      <c r="J5084" t="s">
        <v>2440</v>
      </c>
      <c r="K5084" t="s">
        <v>228</v>
      </c>
      <c r="L5084" t="s">
        <v>11821</v>
      </c>
      <c r="M5084" s="3" t="str">
        <f>HYPERLINK("..\..\Imagery\ScannedPhotos\1992\VN92-197.15E.jpg")</f>
        <v>..\..\Imagery\ScannedPhotos\1992\VN92-197.15E.jpg</v>
      </c>
      <c r="N5084" t="s">
        <v>1808</v>
      </c>
    </row>
    <row r="5085" spans="1:14" x14ac:dyDescent="0.25">
      <c r="A5085" t="s">
        <v>1805</v>
      </c>
      <c r="B5085">
        <v>486400</v>
      </c>
      <c r="C5085">
        <v>5766492</v>
      </c>
      <c r="D5085">
        <v>21</v>
      </c>
      <c r="E5085" t="s">
        <v>15</v>
      </c>
      <c r="F5085" t="s">
        <v>11822</v>
      </c>
      <c r="G5085">
        <v>1</v>
      </c>
      <c r="H5085" t="s">
        <v>746</v>
      </c>
      <c r="I5085" t="s">
        <v>119</v>
      </c>
      <c r="J5085" t="s">
        <v>747</v>
      </c>
      <c r="K5085" t="s">
        <v>228</v>
      </c>
      <c r="L5085" t="s">
        <v>1807</v>
      </c>
      <c r="M5085" s="3" t="str">
        <f>HYPERLINK("..\..\Imagery\ScannedPhotos\1992\VN92-308.2E.jpg")</f>
        <v>..\..\Imagery\ScannedPhotos\1992\VN92-308.2E.jpg</v>
      </c>
      <c r="N5085" t="s">
        <v>1808</v>
      </c>
    </row>
    <row r="5086" spans="1:14" x14ac:dyDescent="0.25">
      <c r="A5086" t="s">
        <v>11823</v>
      </c>
      <c r="B5086">
        <v>443850</v>
      </c>
      <c r="C5086">
        <v>5807454</v>
      </c>
      <c r="D5086">
        <v>21</v>
      </c>
      <c r="E5086" t="s">
        <v>15</v>
      </c>
      <c r="F5086" t="s">
        <v>11824</v>
      </c>
      <c r="G5086">
        <v>1</v>
      </c>
      <c r="H5086" t="s">
        <v>2344</v>
      </c>
      <c r="I5086" t="s">
        <v>126</v>
      </c>
      <c r="J5086" t="s">
        <v>2341</v>
      </c>
      <c r="K5086" t="s">
        <v>535</v>
      </c>
      <c r="L5086" t="s">
        <v>10358</v>
      </c>
      <c r="M5086" s="3" t="str">
        <f>HYPERLINK("..\..\Imagery\ScannedPhotos\1992\JA92-057E.jpg")</f>
        <v>..\..\Imagery\ScannedPhotos\1992\JA92-057E.jpg</v>
      </c>
      <c r="N5086" t="s">
        <v>1808</v>
      </c>
    </row>
    <row r="5087" spans="1:14" x14ac:dyDescent="0.25">
      <c r="A5087" t="s">
        <v>993</v>
      </c>
      <c r="B5087">
        <v>525211</v>
      </c>
      <c r="C5087">
        <v>5743163</v>
      </c>
      <c r="D5087">
        <v>21</v>
      </c>
      <c r="E5087" t="s">
        <v>15</v>
      </c>
      <c r="F5087" t="s">
        <v>11825</v>
      </c>
      <c r="G5087">
        <v>7</v>
      </c>
      <c r="H5087" t="s">
        <v>995</v>
      </c>
      <c r="I5087" t="s">
        <v>137</v>
      </c>
      <c r="J5087" t="s">
        <v>996</v>
      </c>
      <c r="K5087" t="s">
        <v>56</v>
      </c>
      <c r="L5087" t="s">
        <v>9504</v>
      </c>
      <c r="M5087" s="3" t="str">
        <f>HYPERLINK("..\..\Imagery\ScannedPhotos\1993\CG93-698.1cropped.jpg")</f>
        <v>..\..\Imagery\ScannedPhotos\1993\CG93-698.1cropped.jpg</v>
      </c>
      <c r="N5087" t="s">
        <v>4297</v>
      </c>
    </row>
    <row r="5088" spans="1:14" x14ac:dyDescent="0.25">
      <c r="A5088" t="s">
        <v>8728</v>
      </c>
      <c r="B5088">
        <v>573900</v>
      </c>
      <c r="C5088">
        <v>5760080</v>
      </c>
      <c r="D5088">
        <v>21</v>
      </c>
      <c r="E5088" t="s">
        <v>15</v>
      </c>
      <c r="F5088" t="s">
        <v>11826</v>
      </c>
      <c r="G5088">
        <v>3</v>
      </c>
      <c r="H5088" t="s">
        <v>995</v>
      </c>
      <c r="I5088" t="s">
        <v>94</v>
      </c>
      <c r="J5088" t="s">
        <v>996</v>
      </c>
      <c r="K5088" t="s">
        <v>20</v>
      </c>
      <c r="L5088" t="s">
        <v>11827</v>
      </c>
      <c r="M5088" s="3" t="str">
        <f>HYPERLINK("..\..\Imagery\ScannedPhotos\1993\CG93-732.3cropped.jpg")</f>
        <v>..\..\Imagery\ScannedPhotos\1993\CG93-732.3cropped.jpg</v>
      </c>
      <c r="N5088" t="s">
        <v>4297</v>
      </c>
    </row>
    <row r="5089" spans="1:14" x14ac:dyDescent="0.25">
      <c r="A5089" t="s">
        <v>11828</v>
      </c>
      <c r="B5089">
        <v>575909</v>
      </c>
      <c r="C5089">
        <v>5759091</v>
      </c>
      <c r="D5089">
        <v>21</v>
      </c>
      <c r="E5089" t="s">
        <v>15</v>
      </c>
      <c r="F5089" t="s">
        <v>11829</v>
      </c>
      <c r="G5089">
        <v>3</v>
      </c>
      <c r="H5089" t="s">
        <v>995</v>
      </c>
      <c r="I5089" t="s">
        <v>360</v>
      </c>
      <c r="J5089" t="s">
        <v>996</v>
      </c>
      <c r="K5089" t="s">
        <v>56</v>
      </c>
      <c r="L5089" t="s">
        <v>661</v>
      </c>
      <c r="M5089" s="3" t="str">
        <f>HYPERLINK("..\..\Imagery\ScannedPhotos\1993\CG93-739.1cropped.jpg")</f>
        <v>..\..\Imagery\ScannedPhotos\1993\CG93-739.1cropped.jpg</v>
      </c>
      <c r="N5089" t="s">
        <v>4297</v>
      </c>
    </row>
    <row r="5090" spans="1:14" x14ac:dyDescent="0.25">
      <c r="A5090" t="s">
        <v>11828</v>
      </c>
      <c r="B5090">
        <v>575909</v>
      </c>
      <c r="C5090">
        <v>5759091</v>
      </c>
      <c r="D5090">
        <v>21</v>
      </c>
      <c r="E5090" t="s">
        <v>15</v>
      </c>
      <c r="F5090" t="s">
        <v>11830</v>
      </c>
      <c r="G5090">
        <v>3</v>
      </c>
      <c r="H5090" t="s">
        <v>995</v>
      </c>
      <c r="I5090" t="s">
        <v>647</v>
      </c>
      <c r="J5090" t="s">
        <v>996</v>
      </c>
      <c r="K5090" t="s">
        <v>56</v>
      </c>
      <c r="L5090" t="s">
        <v>11831</v>
      </c>
      <c r="M5090" s="3" t="str">
        <f>HYPERLINK("..\..\Imagery\ScannedPhotos\1993\CG93-739.2cropped.jpg")</f>
        <v>..\..\Imagery\ScannedPhotos\1993\CG93-739.2cropped.jpg</v>
      </c>
      <c r="N5090" t="s">
        <v>4297</v>
      </c>
    </row>
    <row r="5091" spans="1:14" x14ac:dyDescent="0.25">
      <c r="A5091" t="s">
        <v>11828</v>
      </c>
      <c r="B5091">
        <v>575909</v>
      </c>
      <c r="C5091">
        <v>5759091</v>
      </c>
      <c r="D5091">
        <v>21</v>
      </c>
      <c r="E5091" t="s">
        <v>15</v>
      </c>
      <c r="F5091" t="s">
        <v>11832</v>
      </c>
      <c r="G5091">
        <v>3</v>
      </c>
      <c r="H5091" t="s">
        <v>995</v>
      </c>
      <c r="I5091" t="s">
        <v>30</v>
      </c>
      <c r="J5091" t="s">
        <v>996</v>
      </c>
      <c r="K5091" t="s">
        <v>56</v>
      </c>
      <c r="L5091" t="s">
        <v>11833</v>
      </c>
      <c r="M5091" s="3" t="str">
        <f>HYPERLINK("..\..\Imagery\ScannedPhotos\1993\CG93-739.3cropped.jpg")</f>
        <v>..\..\Imagery\ScannedPhotos\1993\CG93-739.3cropped.jpg</v>
      </c>
      <c r="N5091" t="s">
        <v>4297</v>
      </c>
    </row>
    <row r="5092" spans="1:14" x14ac:dyDescent="0.25">
      <c r="A5092" t="s">
        <v>2592</v>
      </c>
      <c r="B5092">
        <v>579673</v>
      </c>
      <c r="C5092">
        <v>5760081</v>
      </c>
      <c r="D5092">
        <v>21</v>
      </c>
      <c r="E5092" t="s">
        <v>15</v>
      </c>
      <c r="F5092" t="s">
        <v>11834</v>
      </c>
      <c r="G5092">
        <v>3</v>
      </c>
      <c r="H5092" t="s">
        <v>995</v>
      </c>
      <c r="I5092" t="s">
        <v>122</v>
      </c>
      <c r="J5092" t="s">
        <v>996</v>
      </c>
      <c r="K5092" t="s">
        <v>20</v>
      </c>
      <c r="L5092" t="s">
        <v>11835</v>
      </c>
      <c r="M5092" s="3" t="str">
        <f>HYPERLINK("..\..\Imagery\ScannedPhotos\1993\CG93-774.1cropped.jpg")</f>
        <v>..\..\Imagery\ScannedPhotos\1993\CG93-774.1cropped.jpg</v>
      </c>
      <c r="N5092" t="s">
        <v>4297</v>
      </c>
    </row>
    <row r="5093" spans="1:14" x14ac:dyDescent="0.25">
      <c r="A5093" t="s">
        <v>11836</v>
      </c>
      <c r="B5093">
        <v>538481</v>
      </c>
      <c r="C5093">
        <v>5732401</v>
      </c>
      <c r="D5093">
        <v>21</v>
      </c>
      <c r="E5093" t="s">
        <v>15</v>
      </c>
      <c r="F5093" t="s">
        <v>11837</v>
      </c>
      <c r="G5093">
        <v>2</v>
      </c>
      <c r="K5093" t="s">
        <v>56</v>
      </c>
      <c r="L5093" t="s">
        <v>11838</v>
      </c>
      <c r="M5093" s="3" t="str">
        <f>HYPERLINK("..\..\Imagery\ScannedPhotos\1993\DL93-001cropped.jpg")</f>
        <v>..\..\Imagery\ScannedPhotos\1993\DL93-001cropped.jpg</v>
      </c>
      <c r="N5093" t="s">
        <v>4297</v>
      </c>
    </row>
    <row r="5094" spans="1:14" x14ac:dyDescent="0.25">
      <c r="A5094" t="s">
        <v>11431</v>
      </c>
      <c r="B5094">
        <v>539536</v>
      </c>
      <c r="C5094">
        <v>5730926</v>
      </c>
      <c r="D5094">
        <v>21</v>
      </c>
      <c r="E5094" t="s">
        <v>15</v>
      </c>
      <c r="F5094" t="s">
        <v>11839</v>
      </c>
      <c r="G5094">
        <v>14</v>
      </c>
      <c r="H5094" t="s">
        <v>3597</v>
      </c>
      <c r="I5094" t="s">
        <v>195</v>
      </c>
      <c r="J5094" t="s">
        <v>3598</v>
      </c>
      <c r="K5094" t="s">
        <v>56</v>
      </c>
      <c r="L5094" t="s">
        <v>8537</v>
      </c>
      <c r="M5094" s="3" t="str">
        <f>HYPERLINK("..\..\Imagery\ScannedPhotos\1993\VN93-033.2cropped.jpg")</f>
        <v>..\..\Imagery\ScannedPhotos\1993\VN93-033.2cropped.jpg</v>
      </c>
      <c r="N5094" t="s">
        <v>4297</v>
      </c>
    </row>
    <row r="5095" spans="1:14" x14ac:dyDescent="0.25">
      <c r="A5095" t="s">
        <v>11428</v>
      </c>
      <c r="B5095">
        <v>523782</v>
      </c>
      <c r="C5095">
        <v>5735253</v>
      </c>
      <c r="D5095">
        <v>21</v>
      </c>
      <c r="E5095" t="s">
        <v>15</v>
      </c>
      <c r="F5095" t="s">
        <v>11840</v>
      </c>
      <c r="G5095">
        <v>2</v>
      </c>
      <c r="H5095" t="s">
        <v>1784</v>
      </c>
      <c r="I5095" t="s">
        <v>114</v>
      </c>
      <c r="J5095" t="s">
        <v>1738</v>
      </c>
      <c r="K5095" t="s">
        <v>56</v>
      </c>
      <c r="L5095" t="s">
        <v>11841</v>
      </c>
      <c r="M5095" s="3" t="str">
        <f>HYPERLINK("..\..\Imagery\ScannedPhotos\1993\VN93-277.2cropped.jpg")</f>
        <v>..\..\Imagery\ScannedPhotos\1993\VN93-277.2cropped.jpg</v>
      </c>
      <c r="N5095" t="s">
        <v>4297</v>
      </c>
    </row>
    <row r="5096" spans="1:14" x14ac:dyDescent="0.25">
      <c r="A5096" t="s">
        <v>11842</v>
      </c>
      <c r="B5096">
        <v>503250</v>
      </c>
      <c r="C5096">
        <v>5726767</v>
      </c>
      <c r="D5096">
        <v>21</v>
      </c>
      <c r="E5096" t="s">
        <v>15</v>
      </c>
      <c r="F5096" t="s">
        <v>11843</v>
      </c>
      <c r="G5096">
        <v>1</v>
      </c>
      <c r="H5096" t="s">
        <v>6322</v>
      </c>
      <c r="I5096" t="s">
        <v>94</v>
      </c>
      <c r="J5096" t="s">
        <v>996</v>
      </c>
      <c r="K5096" t="s">
        <v>56</v>
      </c>
      <c r="L5096" t="s">
        <v>11844</v>
      </c>
      <c r="M5096" s="3" t="str">
        <f>HYPERLINK("..\..\Imagery\ScannedPhotos\1993\VN93-359cropped.jpg")</f>
        <v>..\..\Imagery\ScannedPhotos\1993\VN93-359cropped.jpg</v>
      </c>
      <c r="N5096" t="s">
        <v>4297</v>
      </c>
    </row>
    <row r="5097" spans="1:14" x14ac:dyDescent="0.25">
      <c r="A5097" t="s">
        <v>10311</v>
      </c>
      <c r="B5097">
        <v>542496</v>
      </c>
      <c r="C5097">
        <v>5752809</v>
      </c>
      <c r="D5097">
        <v>21</v>
      </c>
      <c r="E5097" t="s">
        <v>15</v>
      </c>
      <c r="F5097" t="s">
        <v>11845</v>
      </c>
      <c r="G5097">
        <v>3</v>
      </c>
      <c r="H5097" t="s">
        <v>6322</v>
      </c>
      <c r="I5097" t="s">
        <v>52</v>
      </c>
      <c r="J5097" t="s">
        <v>996</v>
      </c>
      <c r="K5097" t="s">
        <v>20</v>
      </c>
      <c r="L5097" t="s">
        <v>11846</v>
      </c>
      <c r="M5097" s="3" t="str">
        <f>HYPERLINK("..\..\Imagery\ScannedPhotos\1993\VN93-562.2cropped.jpg")</f>
        <v>..\..\Imagery\ScannedPhotos\1993\VN93-562.2cropped.jpg</v>
      </c>
      <c r="N5097" t="s">
        <v>4297</v>
      </c>
    </row>
    <row r="5098" spans="1:14" x14ac:dyDescent="0.25">
      <c r="A5098" t="s">
        <v>5733</v>
      </c>
      <c r="B5098">
        <v>526270</v>
      </c>
      <c r="C5098">
        <v>5746704</v>
      </c>
      <c r="D5098">
        <v>21</v>
      </c>
      <c r="E5098" t="s">
        <v>15</v>
      </c>
      <c r="F5098" t="s">
        <v>11847</v>
      </c>
      <c r="G5098">
        <v>2</v>
      </c>
      <c r="H5098" t="s">
        <v>869</v>
      </c>
      <c r="I5098" t="s">
        <v>281</v>
      </c>
      <c r="J5098" t="s">
        <v>870</v>
      </c>
      <c r="K5098" t="s">
        <v>20</v>
      </c>
      <c r="L5098" t="s">
        <v>5735</v>
      </c>
      <c r="M5098" s="3" t="str">
        <f>HYPERLINK("..\..\Imagery\ScannedPhotos\1993\VN93-596.1cropped.jpg")</f>
        <v>..\..\Imagery\ScannedPhotos\1993\VN93-596.1cropped.jpg</v>
      </c>
      <c r="N5098" t="s">
        <v>4297</v>
      </c>
    </row>
    <row r="5099" spans="1:14" x14ac:dyDescent="0.25">
      <c r="A5099" t="s">
        <v>533</v>
      </c>
      <c r="B5099">
        <v>575358</v>
      </c>
      <c r="C5099">
        <v>5756555</v>
      </c>
      <c r="D5099">
        <v>21</v>
      </c>
      <c r="E5099" t="s">
        <v>15</v>
      </c>
      <c r="F5099" t="s">
        <v>11848</v>
      </c>
      <c r="G5099">
        <v>13</v>
      </c>
      <c r="K5099" t="s">
        <v>20</v>
      </c>
      <c r="L5099" t="s">
        <v>547</v>
      </c>
      <c r="M5099" s="3" t="str">
        <f>HYPERLINK("..\..\Imagery\ScannedPhotos\1993\VN93-661.11cropped.jpg")</f>
        <v>..\..\Imagery\ScannedPhotos\1993\VN93-661.11cropped.jpg</v>
      </c>
      <c r="N5099" t="s">
        <v>4297</v>
      </c>
    </row>
    <row r="5100" spans="1:14" x14ac:dyDescent="0.25">
      <c r="A5100" t="s">
        <v>523</v>
      </c>
      <c r="B5100">
        <v>575599</v>
      </c>
      <c r="C5100">
        <v>5756653</v>
      </c>
      <c r="D5100">
        <v>21</v>
      </c>
      <c r="E5100" t="s">
        <v>15</v>
      </c>
      <c r="F5100" t="s">
        <v>11849</v>
      </c>
      <c r="G5100">
        <v>16</v>
      </c>
      <c r="H5100" t="s">
        <v>984</v>
      </c>
      <c r="I5100" t="s">
        <v>79</v>
      </c>
      <c r="J5100" t="s">
        <v>985</v>
      </c>
      <c r="K5100" t="s">
        <v>20</v>
      </c>
      <c r="L5100" t="s">
        <v>11850</v>
      </c>
      <c r="M5100" s="3" t="str">
        <f>HYPERLINK("..\..\Imagery\ScannedPhotos\1993\VN93-662.3cropped.jpg")</f>
        <v>..\..\Imagery\ScannedPhotos\1993\VN93-662.3cropped.jpg</v>
      </c>
      <c r="N5100" t="s">
        <v>4297</v>
      </c>
    </row>
    <row r="5101" spans="1:14" x14ac:dyDescent="0.25">
      <c r="A5101" t="s">
        <v>11851</v>
      </c>
      <c r="B5101">
        <v>537750</v>
      </c>
      <c r="C5101">
        <v>5733990</v>
      </c>
      <c r="D5101">
        <v>21</v>
      </c>
      <c r="E5101" t="s">
        <v>15</v>
      </c>
      <c r="F5101" t="s">
        <v>11852</v>
      </c>
      <c r="G5101">
        <v>1</v>
      </c>
      <c r="H5101" t="s">
        <v>1061</v>
      </c>
      <c r="I5101" t="s">
        <v>214</v>
      </c>
      <c r="J5101" t="s">
        <v>1062</v>
      </c>
      <c r="K5101" t="s">
        <v>228</v>
      </c>
      <c r="L5101" t="s">
        <v>11853</v>
      </c>
      <c r="M5101" s="3" t="str">
        <f>HYPERLINK("..\..\Imagery\ScannedPhotos\1993\CG93-022E.jpg")</f>
        <v>..\..\Imagery\ScannedPhotos\1993\CG93-022E.jpg</v>
      </c>
      <c r="N5101" t="s">
        <v>1808</v>
      </c>
    </row>
    <row r="5102" spans="1:14" x14ac:dyDescent="0.25">
      <c r="A5102" t="s">
        <v>3248</v>
      </c>
      <c r="B5102">
        <v>529223</v>
      </c>
      <c r="C5102">
        <v>5731508</v>
      </c>
      <c r="D5102">
        <v>21</v>
      </c>
      <c r="E5102" t="s">
        <v>15</v>
      </c>
      <c r="F5102" t="s">
        <v>11854</v>
      </c>
      <c r="G5102">
        <v>3</v>
      </c>
      <c r="H5102" t="s">
        <v>1061</v>
      </c>
      <c r="I5102" t="s">
        <v>360</v>
      </c>
      <c r="J5102" t="s">
        <v>1062</v>
      </c>
      <c r="K5102" t="s">
        <v>20</v>
      </c>
      <c r="L5102" t="s">
        <v>290</v>
      </c>
      <c r="M5102" s="3" t="str">
        <f>HYPERLINK("..\..\Imagery\ScannedPhotos\1993\CG93-026.3E.jpg")</f>
        <v>..\..\Imagery\ScannedPhotos\1993\CG93-026.3E.jpg</v>
      </c>
      <c r="N5102" t="s">
        <v>1808</v>
      </c>
    </row>
    <row r="5103" spans="1:14" x14ac:dyDescent="0.25">
      <c r="A5103" t="s">
        <v>1989</v>
      </c>
      <c r="B5103">
        <v>537953</v>
      </c>
      <c r="C5103">
        <v>5729879</v>
      </c>
      <c r="D5103">
        <v>21</v>
      </c>
      <c r="E5103" t="s">
        <v>15</v>
      </c>
      <c r="F5103" t="s">
        <v>11855</v>
      </c>
      <c r="G5103">
        <v>5</v>
      </c>
      <c r="H5103" t="s">
        <v>1061</v>
      </c>
      <c r="I5103" t="s">
        <v>147</v>
      </c>
      <c r="J5103" t="s">
        <v>1062</v>
      </c>
      <c r="K5103" t="s">
        <v>20</v>
      </c>
      <c r="L5103" t="s">
        <v>290</v>
      </c>
      <c r="M5103" s="3" t="str">
        <f>HYPERLINK("..\..\Imagery\ScannedPhotos\1993\CG93-034.4E.jpg")</f>
        <v>..\..\Imagery\ScannedPhotos\1993\CG93-034.4E.jpg</v>
      </c>
      <c r="N5103" t="s">
        <v>1808</v>
      </c>
    </row>
    <row r="5104" spans="1:14" x14ac:dyDescent="0.25">
      <c r="A5104" t="s">
        <v>11856</v>
      </c>
      <c r="B5104">
        <v>472600</v>
      </c>
      <c r="C5104">
        <v>6008390</v>
      </c>
      <c r="D5104">
        <v>21</v>
      </c>
      <c r="E5104" t="s">
        <v>15</v>
      </c>
      <c r="F5104" t="s">
        <v>11857</v>
      </c>
      <c r="G5104">
        <v>1</v>
      </c>
      <c r="H5104" t="s">
        <v>1326</v>
      </c>
      <c r="I5104" t="s">
        <v>85</v>
      </c>
      <c r="J5104" t="s">
        <v>95</v>
      </c>
      <c r="K5104" t="s">
        <v>20</v>
      </c>
      <c r="L5104" t="s">
        <v>11858</v>
      </c>
      <c r="M5104" s="3" t="str">
        <f>HYPERLINK("..\..\Imagery\ScannedPhotos\1980\CG80-344E.jpg")</f>
        <v>..\..\Imagery\ScannedPhotos\1980\CG80-344E.jpg</v>
      </c>
      <c r="N5104" t="s">
        <v>1808</v>
      </c>
    </row>
    <row r="5105" spans="1:14" x14ac:dyDescent="0.25">
      <c r="A5105" t="s">
        <v>6480</v>
      </c>
      <c r="B5105">
        <v>469789</v>
      </c>
      <c r="C5105">
        <v>6004398</v>
      </c>
      <c r="D5105">
        <v>21</v>
      </c>
      <c r="E5105" t="s">
        <v>15</v>
      </c>
      <c r="F5105" t="s">
        <v>11859</v>
      </c>
      <c r="G5105">
        <v>6</v>
      </c>
      <c r="H5105" t="s">
        <v>2246</v>
      </c>
      <c r="I5105" t="s">
        <v>294</v>
      </c>
      <c r="J5105" t="s">
        <v>2247</v>
      </c>
      <c r="K5105" t="s">
        <v>20</v>
      </c>
      <c r="L5105" t="s">
        <v>6482</v>
      </c>
      <c r="M5105" s="3" t="str">
        <f>HYPERLINK("..\..\Imagery\ScannedPhotos\1980\CG80-345.1cropped.jpg")</f>
        <v>..\..\Imagery\ScannedPhotos\1980\CG80-345.1cropped.jpg</v>
      </c>
      <c r="N5105" t="s">
        <v>4297</v>
      </c>
    </row>
    <row r="5106" spans="1:14" x14ac:dyDescent="0.25">
      <c r="A5106" t="s">
        <v>6480</v>
      </c>
      <c r="B5106">
        <v>469789</v>
      </c>
      <c r="C5106">
        <v>6004398</v>
      </c>
      <c r="D5106">
        <v>21</v>
      </c>
      <c r="E5106" t="s">
        <v>15</v>
      </c>
      <c r="F5106" t="s">
        <v>11860</v>
      </c>
      <c r="G5106">
        <v>6</v>
      </c>
      <c r="H5106" t="s">
        <v>2246</v>
      </c>
      <c r="I5106" t="s">
        <v>281</v>
      </c>
      <c r="J5106" t="s">
        <v>2247</v>
      </c>
      <c r="K5106" t="s">
        <v>20</v>
      </c>
      <c r="L5106" t="s">
        <v>6482</v>
      </c>
      <c r="M5106" s="3" t="str">
        <f>HYPERLINK("..\..\Imagery\ScannedPhotos\1980\CG80-345.3cropped.jpg")</f>
        <v>..\..\Imagery\ScannedPhotos\1980\CG80-345.3cropped.jpg</v>
      </c>
      <c r="N5106" t="s">
        <v>4297</v>
      </c>
    </row>
    <row r="5107" spans="1:14" x14ac:dyDescent="0.25">
      <c r="A5107" t="s">
        <v>7660</v>
      </c>
      <c r="B5107">
        <v>471076</v>
      </c>
      <c r="C5107">
        <v>6004606</v>
      </c>
      <c r="D5107">
        <v>21</v>
      </c>
      <c r="E5107" t="s">
        <v>15</v>
      </c>
      <c r="F5107" t="s">
        <v>11861</v>
      </c>
      <c r="G5107">
        <v>5</v>
      </c>
      <c r="H5107" t="s">
        <v>1326</v>
      </c>
      <c r="I5107" t="s">
        <v>209</v>
      </c>
      <c r="J5107" t="s">
        <v>95</v>
      </c>
      <c r="K5107" t="s">
        <v>20</v>
      </c>
      <c r="L5107" t="s">
        <v>11862</v>
      </c>
      <c r="M5107" s="3" t="str">
        <f>HYPERLINK("..\..\Imagery\ScannedPhotos\1980\CG80-348.2E.jpg")</f>
        <v>..\..\Imagery\ScannedPhotos\1980\CG80-348.2E.jpg</v>
      </c>
      <c r="N5107" t="s">
        <v>1808</v>
      </c>
    </row>
    <row r="5108" spans="1:14" x14ac:dyDescent="0.25">
      <c r="A5108" t="s">
        <v>9275</v>
      </c>
      <c r="B5108">
        <v>471470</v>
      </c>
      <c r="C5108">
        <v>6004481</v>
      </c>
      <c r="D5108">
        <v>21</v>
      </c>
      <c r="E5108" t="s">
        <v>15</v>
      </c>
      <c r="F5108" t="s">
        <v>11863</v>
      </c>
      <c r="G5108">
        <v>14</v>
      </c>
      <c r="H5108" t="s">
        <v>1326</v>
      </c>
      <c r="I5108" t="s">
        <v>195</v>
      </c>
      <c r="J5108" t="s">
        <v>95</v>
      </c>
      <c r="K5108" t="s">
        <v>20</v>
      </c>
      <c r="L5108" t="s">
        <v>11864</v>
      </c>
      <c r="M5108" s="3" t="str">
        <f>HYPERLINK("..\..\Imagery\ScannedPhotos\1980\CG80-350.3cropped.jpg")</f>
        <v>..\..\Imagery\ScannedPhotos\1980\CG80-350.3cropped.jpg</v>
      </c>
      <c r="N5108" t="s">
        <v>4297</v>
      </c>
    </row>
    <row r="5109" spans="1:14" x14ac:dyDescent="0.25">
      <c r="A5109" t="s">
        <v>11865</v>
      </c>
      <c r="B5109">
        <v>437978</v>
      </c>
      <c r="C5109">
        <v>5777686</v>
      </c>
      <c r="D5109">
        <v>21</v>
      </c>
      <c r="E5109" t="s">
        <v>15</v>
      </c>
      <c r="F5109" t="s">
        <v>11866</v>
      </c>
      <c r="G5109">
        <v>7</v>
      </c>
      <c r="H5109" t="s">
        <v>2563</v>
      </c>
      <c r="I5109" t="s">
        <v>137</v>
      </c>
      <c r="J5109" t="s">
        <v>905</v>
      </c>
      <c r="K5109" t="s">
        <v>56</v>
      </c>
      <c r="L5109" t="s">
        <v>11867</v>
      </c>
      <c r="M5109" s="3" t="str">
        <f>HYPERLINK("..\..\Imagery\ScannedPhotos\1992\JA92-116.4.jpg")</f>
        <v>..\..\Imagery\ScannedPhotos\1992\JA92-116.4.jpg</v>
      </c>
    </row>
    <row r="5110" spans="1:14" x14ac:dyDescent="0.25">
      <c r="A5110" t="s">
        <v>11865</v>
      </c>
      <c r="B5110">
        <v>437978</v>
      </c>
      <c r="C5110">
        <v>5777686</v>
      </c>
      <c r="D5110">
        <v>21</v>
      </c>
      <c r="E5110" t="s">
        <v>15</v>
      </c>
      <c r="F5110" t="s">
        <v>11868</v>
      </c>
      <c r="G5110">
        <v>7</v>
      </c>
      <c r="H5110" t="s">
        <v>2563</v>
      </c>
      <c r="I5110" t="s">
        <v>69</v>
      </c>
      <c r="J5110" t="s">
        <v>905</v>
      </c>
      <c r="K5110" t="s">
        <v>20</v>
      </c>
      <c r="L5110" t="s">
        <v>11869</v>
      </c>
      <c r="M5110" s="3" t="str">
        <f>HYPERLINK("..\..\Imagery\ScannedPhotos\1992\JA92-116.7.jpg")</f>
        <v>..\..\Imagery\ScannedPhotos\1992\JA92-116.7.jpg</v>
      </c>
    </row>
    <row r="5111" spans="1:14" x14ac:dyDescent="0.25">
      <c r="A5111" t="s">
        <v>11865</v>
      </c>
      <c r="B5111">
        <v>437978</v>
      </c>
      <c r="C5111">
        <v>5777686</v>
      </c>
      <c r="D5111">
        <v>21</v>
      </c>
      <c r="E5111" t="s">
        <v>15</v>
      </c>
      <c r="F5111" t="s">
        <v>11870</v>
      </c>
      <c r="G5111">
        <v>7</v>
      </c>
      <c r="H5111" t="s">
        <v>2563</v>
      </c>
      <c r="I5111" t="s">
        <v>35</v>
      </c>
      <c r="J5111" t="s">
        <v>905</v>
      </c>
      <c r="K5111" t="s">
        <v>56</v>
      </c>
      <c r="L5111" t="s">
        <v>11871</v>
      </c>
      <c r="M5111" s="3" t="str">
        <f>HYPERLINK("..\..\Imagery\ScannedPhotos\1992\JA92-116.6.jpg")</f>
        <v>..\..\Imagery\ScannedPhotos\1992\JA92-116.6.jpg</v>
      </c>
    </row>
    <row r="5112" spans="1:14" x14ac:dyDescent="0.25">
      <c r="A5112" t="s">
        <v>11865</v>
      </c>
      <c r="B5112">
        <v>437978</v>
      </c>
      <c r="C5112">
        <v>5777686</v>
      </c>
      <c r="D5112">
        <v>21</v>
      </c>
      <c r="E5112" t="s">
        <v>15</v>
      </c>
      <c r="F5112" t="s">
        <v>11872</v>
      </c>
      <c r="G5112">
        <v>7</v>
      </c>
      <c r="H5112" t="s">
        <v>2563</v>
      </c>
      <c r="I5112" t="s">
        <v>18</v>
      </c>
      <c r="J5112" t="s">
        <v>905</v>
      </c>
      <c r="K5112" t="s">
        <v>56</v>
      </c>
      <c r="L5112" t="s">
        <v>11873</v>
      </c>
      <c r="M5112" s="3" t="str">
        <f>HYPERLINK("..\..\Imagery\ScannedPhotos\1992\JA92-116.5.jpg")</f>
        <v>..\..\Imagery\ScannedPhotos\1992\JA92-116.5.jpg</v>
      </c>
    </row>
    <row r="5113" spans="1:14" x14ac:dyDescent="0.25">
      <c r="A5113" t="s">
        <v>11865</v>
      </c>
      <c r="B5113">
        <v>437978</v>
      </c>
      <c r="C5113">
        <v>5777686</v>
      </c>
      <c r="D5113">
        <v>21</v>
      </c>
      <c r="E5113" t="s">
        <v>15</v>
      </c>
      <c r="F5113" t="s">
        <v>11874</v>
      </c>
      <c r="G5113">
        <v>7</v>
      </c>
      <c r="H5113" t="s">
        <v>2563</v>
      </c>
      <c r="I5113" t="s">
        <v>281</v>
      </c>
      <c r="J5113" t="s">
        <v>905</v>
      </c>
      <c r="K5113" t="s">
        <v>20</v>
      </c>
      <c r="L5113" t="s">
        <v>11875</v>
      </c>
      <c r="M5113" s="3" t="str">
        <f>HYPERLINK("..\..\Imagery\ScannedPhotos\1992\JA92-116.3.jpg")</f>
        <v>..\..\Imagery\ScannedPhotos\1992\JA92-116.3.jpg</v>
      </c>
    </row>
    <row r="5114" spans="1:14" x14ac:dyDescent="0.25">
      <c r="A5114" t="s">
        <v>11865</v>
      </c>
      <c r="B5114">
        <v>437978</v>
      </c>
      <c r="C5114">
        <v>5777686</v>
      </c>
      <c r="D5114">
        <v>21</v>
      </c>
      <c r="E5114" t="s">
        <v>15</v>
      </c>
      <c r="F5114" t="s">
        <v>11876</v>
      </c>
      <c r="G5114">
        <v>7</v>
      </c>
      <c r="H5114" t="s">
        <v>2563</v>
      </c>
      <c r="I5114" t="s">
        <v>79</v>
      </c>
      <c r="J5114" t="s">
        <v>905</v>
      </c>
      <c r="K5114" t="s">
        <v>20</v>
      </c>
      <c r="L5114" t="s">
        <v>11877</v>
      </c>
      <c r="M5114" s="3" t="str">
        <f>HYPERLINK("..\..\Imagery\ScannedPhotos\1992\JA92-116.2E.jpg")</f>
        <v>..\..\Imagery\ScannedPhotos\1992\JA92-116.2E.jpg</v>
      </c>
      <c r="N5114" t="s">
        <v>1808</v>
      </c>
    </row>
    <row r="5115" spans="1:14" x14ac:dyDescent="0.25">
      <c r="A5115" t="s">
        <v>11865</v>
      </c>
      <c r="B5115">
        <v>437978</v>
      </c>
      <c r="C5115">
        <v>5777686</v>
      </c>
      <c r="D5115">
        <v>21</v>
      </c>
      <c r="E5115" t="s">
        <v>15</v>
      </c>
      <c r="F5115" t="s">
        <v>11878</v>
      </c>
      <c r="G5115">
        <v>7</v>
      </c>
      <c r="H5115" t="s">
        <v>2563</v>
      </c>
      <c r="I5115" t="s">
        <v>294</v>
      </c>
      <c r="J5115" t="s">
        <v>905</v>
      </c>
      <c r="K5115" t="s">
        <v>20</v>
      </c>
      <c r="L5115" t="s">
        <v>11877</v>
      </c>
      <c r="M5115" s="3" t="str">
        <f>HYPERLINK("..\..\Imagery\ScannedPhotos\1992\JA92-116.1E.jpg")</f>
        <v>..\..\Imagery\ScannedPhotos\1992\JA92-116.1E.jpg</v>
      </c>
      <c r="N5115" t="s">
        <v>1808</v>
      </c>
    </row>
    <row r="5116" spans="1:14" x14ac:dyDescent="0.25">
      <c r="A5116" t="s">
        <v>11879</v>
      </c>
      <c r="B5116">
        <v>438311</v>
      </c>
      <c r="C5116">
        <v>5777511</v>
      </c>
      <c r="D5116">
        <v>21</v>
      </c>
      <c r="E5116" t="s">
        <v>15</v>
      </c>
      <c r="F5116" t="s">
        <v>11880</v>
      </c>
      <c r="G5116">
        <v>1</v>
      </c>
      <c r="H5116" t="s">
        <v>2563</v>
      </c>
      <c r="I5116" t="s">
        <v>74</v>
      </c>
      <c r="J5116" t="s">
        <v>905</v>
      </c>
      <c r="K5116" t="s">
        <v>56</v>
      </c>
      <c r="L5116" t="s">
        <v>11881</v>
      </c>
      <c r="M5116" s="3" t="str">
        <f>HYPERLINK("..\..\Imagery\ScannedPhotos\1992\JA92-117.jpg")</f>
        <v>..\..\Imagery\ScannedPhotos\1992\JA92-117.jpg</v>
      </c>
    </row>
    <row r="5117" spans="1:14" x14ac:dyDescent="0.25">
      <c r="A5117" t="s">
        <v>11882</v>
      </c>
      <c r="B5117">
        <v>438506</v>
      </c>
      <c r="C5117">
        <v>5777376</v>
      </c>
      <c r="D5117">
        <v>21</v>
      </c>
      <c r="E5117" t="s">
        <v>15</v>
      </c>
      <c r="F5117" t="s">
        <v>11883</v>
      </c>
      <c r="G5117">
        <v>1</v>
      </c>
      <c r="H5117" t="s">
        <v>2563</v>
      </c>
      <c r="I5117" t="s">
        <v>41</v>
      </c>
      <c r="J5117" t="s">
        <v>905</v>
      </c>
      <c r="K5117" t="s">
        <v>56</v>
      </c>
      <c r="L5117" t="s">
        <v>11884</v>
      </c>
      <c r="M5117" s="3" t="str">
        <f>HYPERLINK("..\..\Imagery\ScannedPhotos\1992\JA92-118.jpg")</f>
        <v>..\..\Imagery\ScannedPhotos\1992\JA92-118.jpg</v>
      </c>
    </row>
    <row r="5118" spans="1:14" x14ac:dyDescent="0.25">
      <c r="A5118" t="s">
        <v>1516</v>
      </c>
      <c r="B5118">
        <v>465282</v>
      </c>
      <c r="C5118">
        <v>6030482</v>
      </c>
      <c r="D5118">
        <v>21</v>
      </c>
      <c r="E5118" t="s">
        <v>15</v>
      </c>
      <c r="F5118" t="s">
        <v>11885</v>
      </c>
      <c r="G5118">
        <v>4</v>
      </c>
      <c r="H5118" t="s">
        <v>1518</v>
      </c>
      <c r="I5118" t="s">
        <v>52</v>
      </c>
      <c r="J5118" t="s">
        <v>48</v>
      </c>
      <c r="K5118" t="s">
        <v>20</v>
      </c>
      <c r="L5118" t="s">
        <v>11886</v>
      </c>
      <c r="M5118" s="3" t="str">
        <f>HYPERLINK("..\..\Imagery\ScannedPhotos\1982\CG82-027.4.jpg")</f>
        <v>..\..\Imagery\ScannedPhotos\1982\CG82-027.4.jpg</v>
      </c>
    </row>
    <row r="5119" spans="1:14" x14ac:dyDescent="0.25">
      <c r="A5119" t="s">
        <v>6828</v>
      </c>
      <c r="B5119">
        <v>314197</v>
      </c>
      <c r="C5119">
        <v>6013334</v>
      </c>
      <c r="D5119">
        <v>21</v>
      </c>
      <c r="E5119" t="s">
        <v>15</v>
      </c>
      <c r="F5119" t="s">
        <v>11887</v>
      </c>
      <c r="G5119">
        <v>3</v>
      </c>
      <c r="H5119" t="s">
        <v>2431</v>
      </c>
      <c r="I5119" t="s">
        <v>30</v>
      </c>
      <c r="J5119" t="s">
        <v>269</v>
      </c>
      <c r="K5119" t="s">
        <v>20</v>
      </c>
      <c r="L5119" t="s">
        <v>6830</v>
      </c>
      <c r="M5119" s="3" t="str">
        <f>HYPERLINK("..\..\Imagery\ScannedPhotos\1983\CG83-277.3.jpg")</f>
        <v>..\..\Imagery\ScannedPhotos\1983\CG83-277.3.jpg</v>
      </c>
    </row>
    <row r="5120" spans="1:14" x14ac:dyDescent="0.25">
      <c r="A5120" t="s">
        <v>2282</v>
      </c>
      <c r="B5120">
        <v>504835</v>
      </c>
      <c r="C5120">
        <v>5970254</v>
      </c>
      <c r="D5120">
        <v>21</v>
      </c>
      <c r="E5120" t="s">
        <v>15</v>
      </c>
      <c r="F5120" t="s">
        <v>11888</v>
      </c>
      <c r="G5120">
        <v>20</v>
      </c>
      <c r="H5120" t="s">
        <v>1333</v>
      </c>
      <c r="I5120" t="s">
        <v>52</v>
      </c>
      <c r="J5120" t="s">
        <v>1334</v>
      </c>
      <c r="K5120" t="s">
        <v>20</v>
      </c>
      <c r="L5120" t="s">
        <v>11889</v>
      </c>
      <c r="M5120" s="3" t="str">
        <f>HYPERLINK("..\..\Imagery\ScannedPhotos\1984\CG84-172.9.jpg")</f>
        <v>..\..\Imagery\ScannedPhotos\1984\CG84-172.9.jpg</v>
      </c>
    </row>
    <row r="5121" spans="1:13" x14ac:dyDescent="0.25">
      <c r="A5121" t="s">
        <v>11890</v>
      </c>
      <c r="B5121">
        <v>577777</v>
      </c>
      <c r="C5121">
        <v>5926853</v>
      </c>
      <c r="D5121">
        <v>21</v>
      </c>
      <c r="E5121" t="s">
        <v>15</v>
      </c>
      <c r="F5121" t="s">
        <v>11891</v>
      </c>
      <c r="G5121">
        <v>4</v>
      </c>
      <c r="H5121" t="s">
        <v>1378</v>
      </c>
      <c r="I5121" t="s">
        <v>85</v>
      </c>
      <c r="J5121" t="s">
        <v>628</v>
      </c>
      <c r="K5121" t="s">
        <v>20</v>
      </c>
      <c r="L5121" t="s">
        <v>11892</v>
      </c>
      <c r="M5121" s="3" t="str">
        <f>HYPERLINK("..\..\Imagery\ScannedPhotos\1985\CG85-622.1.jpg")</f>
        <v>..\..\Imagery\ScannedPhotos\1985\CG85-622.1.jpg</v>
      </c>
    </row>
    <row r="5122" spans="1:13" x14ac:dyDescent="0.25">
      <c r="A5122" t="s">
        <v>11890</v>
      </c>
      <c r="B5122">
        <v>577777</v>
      </c>
      <c r="C5122">
        <v>5926853</v>
      </c>
      <c r="D5122">
        <v>21</v>
      </c>
      <c r="E5122" t="s">
        <v>15</v>
      </c>
      <c r="F5122" t="s">
        <v>11893</v>
      </c>
      <c r="G5122">
        <v>4</v>
      </c>
      <c r="H5122" t="s">
        <v>1378</v>
      </c>
      <c r="I5122" t="s">
        <v>143</v>
      </c>
      <c r="J5122" t="s">
        <v>628</v>
      </c>
      <c r="K5122" t="s">
        <v>20</v>
      </c>
      <c r="L5122" t="s">
        <v>11894</v>
      </c>
      <c r="M5122" s="3" t="str">
        <f>HYPERLINK("..\..\Imagery\ScannedPhotos\1985\CG85-622.4.jpg")</f>
        <v>..\..\Imagery\ScannedPhotos\1985\CG85-622.4.jpg</v>
      </c>
    </row>
    <row r="5123" spans="1:13" x14ac:dyDescent="0.25">
      <c r="A5123" t="s">
        <v>11895</v>
      </c>
      <c r="B5123">
        <v>563413</v>
      </c>
      <c r="C5123">
        <v>5921547</v>
      </c>
      <c r="D5123">
        <v>21</v>
      </c>
      <c r="E5123" t="s">
        <v>15</v>
      </c>
      <c r="F5123" t="s">
        <v>11896</v>
      </c>
      <c r="G5123">
        <v>1</v>
      </c>
      <c r="H5123" t="s">
        <v>1378</v>
      </c>
      <c r="I5123" t="s">
        <v>94</v>
      </c>
      <c r="J5123" t="s">
        <v>628</v>
      </c>
      <c r="K5123" t="s">
        <v>20</v>
      </c>
      <c r="L5123" t="s">
        <v>11897</v>
      </c>
      <c r="M5123" s="3" t="str">
        <f>HYPERLINK("..\..\Imagery\ScannedPhotos\1985\CG85-639.jpg")</f>
        <v>..\..\Imagery\ScannedPhotos\1985\CG85-639.jpg</v>
      </c>
    </row>
    <row r="5124" spans="1:13" x14ac:dyDescent="0.25">
      <c r="A5124" t="s">
        <v>11898</v>
      </c>
      <c r="B5124">
        <v>564310</v>
      </c>
      <c r="C5124">
        <v>5920912</v>
      </c>
      <c r="D5124">
        <v>21</v>
      </c>
      <c r="E5124" t="s">
        <v>15</v>
      </c>
      <c r="F5124" t="s">
        <v>11899</v>
      </c>
      <c r="G5124">
        <v>2</v>
      </c>
      <c r="H5124" t="s">
        <v>1378</v>
      </c>
      <c r="I5124" t="s">
        <v>217</v>
      </c>
      <c r="J5124" t="s">
        <v>628</v>
      </c>
      <c r="K5124" t="s">
        <v>56</v>
      </c>
      <c r="L5124" t="s">
        <v>11900</v>
      </c>
      <c r="M5124" s="3" t="str">
        <f>HYPERLINK("..\..\Imagery\ScannedPhotos\1985\CG85-641.2.jpg")</f>
        <v>..\..\Imagery\ScannedPhotos\1985\CG85-641.2.jpg</v>
      </c>
    </row>
    <row r="5125" spans="1:13" x14ac:dyDescent="0.25">
      <c r="A5125" t="s">
        <v>11898</v>
      </c>
      <c r="B5125">
        <v>564310</v>
      </c>
      <c r="C5125">
        <v>5920912</v>
      </c>
      <c r="D5125">
        <v>21</v>
      </c>
      <c r="E5125" t="s">
        <v>15</v>
      </c>
      <c r="F5125" t="s">
        <v>11901</v>
      </c>
      <c r="G5125">
        <v>2</v>
      </c>
      <c r="H5125" t="s">
        <v>1378</v>
      </c>
      <c r="I5125" t="s">
        <v>386</v>
      </c>
      <c r="J5125" t="s">
        <v>628</v>
      </c>
      <c r="K5125" t="s">
        <v>20</v>
      </c>
      <c r="L5125" t="s">
        <v>11900</v>
      </c>
      <c r="M5125" s="3" t="str">
        <f>HYPERLINK("..\..\Imagery\ScannedPhotos\1985\CG85-641.1.jpg")</f>
        <v>..\..\Imagery\ScannedPhotos\1985\CG85-641.1.jpg</v>
      </c>
    </row>
    <row r="5126" spans="1:13" x14ac:dyDescent="0.25">
      <c r="A5126" t="s">
        <v>4096</v>
      </c>
      <c r="B5126">
        <v>565044</v>
      </c>
      <c r="C5126">
        <v>5920155</v>
      </c>
      <c r="D5126">
        <v>21</v>
      </c>
      <c r="E5126" t="s">
        <v>15</v>
      </c>
      <c r="F5126" t="s">
        <v>11902</v>
      </c>
      <c r="G5126">
        <v>4</v>
      </c>
      <c r="H5126" t="s">
        <v>1378</v>
      </c>
      <c r="I5126" t="s">
        <v>418</v>
      </c>
      <c r="J5126" t="s">
        <v>628</v>
      </c>
      <c r="K5126" t="s">
        <v>20</v>
      </c>
      <c r="L5126" t="s">
        <v>11903</v>
      </c>
      <c r="M5126" s="3" t="str">
        <f>HYPERLINK("..\..\Imagery\ScannedPhotos\1985\CG85-644.3.jpg")</f>
        <v>..\..\Imagery\ScannedPhotos\1985\CG85-644.3.jpg</v>
      </c>
    </row>
    <row r="5127" spans="1:13" x14ac:dyDescent="0.25">
      <c r="A5127" t="s">
        <v>4096</v>
      </c>
      <c r="B5127">
        <v>565044</v>
      </c>
      <c r="C5127">
        <v>5920155</v>
      </c>
      <c r="D5127">
        <v>21</v>
      </c>
      <c r="E5127" t="s">
        <v>15</v>
      </c>
      <c r="F5127" t="s">
        <v>11904</v>
      </c>
      <c r="G5127">
        <v>4</v>
      </c>
      <c r="H5127" t="s">
        <v>1378</v>
      </c>
      <c r="I5127" t="s">
        <v>304</v>
      </c>
      <c r="J5127" t="s">
        <v>628</v>
      </c>
      <c r="K5127" t="s">
        <v>20</v>
      </c>
      <c r="L5127" t="s">
        <v>11905</v>
      </c>
      <c r="M5127" s="3" t="str">
        <f>HYPERLINK("..\..\Imagery\ScannedPhotos\1985\CG85-644.4.jpg")</f>
        <v>..\..\Imagery\ScannedPhotos\1985\CG85-644.4.jpg</v>
      </c>
    </row>
    <row r="5128" spans="1:13" x14ac:dyDescent="0.25">
      <c r="A5128" t="s">
        <v>11906</v>
      </c>
      <c r="B5128">
        <v>369535</v>
      </c>
      <c r="C5128">
        <v>5992494</v>
      </c>
      <c r="D5128">
        <v>21</v>
      </c>
      <c r="E5128" t="s">
        <v>15</v>
      </c>
      <c r="F5128" t="s">
        <v>11907</v>
      </c>
      <c r="G5128">
        <v>1</v>
      </c>
      <c r="H5128" t="s">
        <v>781</v>
      </c>
      <c r="I5128" t="s">
        <v>35</v>
      </c>
      <c r="J5128" t="s">
        <v>782</v>
      </c>
      <c r="K5128" t="s">
        <v>20</v>
      </c>
      <c r="L5128" t="s">
        <v>11908</v>
      </c>
      <c r="M5128" s="3" t="str">
        <f>HYPERLINK("..\..\Imagery\ScannedPhotos\1980\NN80-071.jpg")</f>
        <v>..\..\Imagery\ScannedPhotos\1980\NN80-071.jpg</v>
      </c>
    </row>
    <row r="5129" spans="1:13" x14ac:dyDescent="0.25">
      <c r="A5129" t="s">
        <v>11909</v>
      </c>
      <c r="B5129">
        <v>369332</v>
      </c>
      <c r="C5129">
        <v>5992430</v>
      </c>
      <c r="D5129">
        <v>21</v>
      </c>
      <c r="E5129" t="s">
        <v>15</v>
      </c>
      <c r="F5129" t="s">
        <v>11910</v>
      </c>
      <c r="G5129">
        <v>1</v>
      </c>
      <c r="H5129" t="s">
        <v>781</v>
      </c>
      <c r="I5129" t="s">
        <v>69</v>
      </c>
      <c r="J5129" t="s">
        <v>782</v>
      </c>
      <c r="K5129" t="s">
        <v>20</v>
      </c>
      <c r="L5129" t="s">
        <v>11911</v>
      </c>
      <c r="M5129" s="3" t="str">
        <f>HYPERLINK("..\..\Imagery\ScannedPhotos\1980\NN80-072.jpg")</f>
        <v>..\..\Imagery\ScannedPhotos\1980\NN80-072.jpg</v>
      </c>
    </row>
    <row r="5130" spans="1:13" x14ac:dyDescent="0.25">
      <c r="A5130" t="s">
        <v>11912</v>
      </c>
      <c r="B5130">
        <v>390282</v>
      </c>
      <c r="C5130">
        <v>6001616</v>
      </c>
      <c r="D5130">
        <v>21</v>
      </c>
      <c r="E5130" t="s">
        <v>15</v>
      </c>
      <c r="F5130" t="s">
        <v>11913</v>
      </c>
      <c r="G5130">
        <v>2</v>
      </c>
      <c r="H5130" t="s">
        <v>781</v>
      </c>
      <c r="I5130" t="s">
        <v>41</v>
      </c>
      <c r="J5130" t="s">
        <v>782</v>
      </c>
      <c r="K5130" t="s">
        <v>20</v>
      </c>
      <c r="L5130" t="s">
        <v>11914</v>
      </c>
      <c r="M5130" s="3" t="str">
        <f>HYPERLINK("..\..\Imagery\ScannedPhotos\1980\NN80-074.2.jpg")</f>
        <v>..\..\Imagery\ScannedPhotos\1980\NN80-074.2.jpg</v>
      </c>
    </row>
    <row r="5131" spans="1:13" x14ac:dyDescent="0.25">
      <c r="A5131" t="s">
        <v>11912</v>
      </c>
      <c r="B5131">
        <v>390282</v>
      </c>
      <c r="C5131">
        <v>6001616</v>
      </c>
      <c r="D5131">
        <v>21</v>
      </c>
      <c r="E5131" t="s">
        <v>15</v>
      </c>
      <c r="F5131" t="s">
        <v>11915</v>
      </c>
      <c r="G5131">
        <v>2</v>
      </c>
      <c r="H5131" t="s">
        <v>781</v>
      </c>
      <c r="I5131" t="s">
        <v>74</v>
      </c>
      <c r="J5131" t="s">
        <v>782</v>
      </c>
      <c r="K5131" t="s">
        <v>20</v>
      </c>
      <c r="L5131" t="s">
        <v>11916</v>
      </c>
      <c r="M5131" s="3" t="str">
        <f>HYPERLINK("..\..\Imagery\ScannedPhotos\1980\NN80-074.1.jpg")</f>
        <v>..\..\Imagery\ScannedPhotos\1980\NN80-074.1.jpg</v>
      </c>
    </row>
    <row r="5132" spans="1:13" x14ac:dyDescent="0.25">
      <c r="A5132" t="s">
        <v>11917</v>
      </c>
      <c r="B5132">
        <v>392546</v>
      </c>
      <c r="C5132">
        <v>6002248</v>
      </c>
      <c r="D5132">
        <v>21</v>
      </c>
      <c r="E5132" t="s">
        <v>15</v>
      </c>
      <c r="F5132" t="s">
        <v>11918</v>
      </c>
      <c r="G5132">
        <v>1</v>
      </c>
      <c r="H5132" t="s">
        <v>781</v>
      </c>
      <c r="I5132" t="s">
        <v>85</v>
      </c>
      <c r="J5132" t="s">
        <v>782</v>
      </c>
      <c r="K5132" t="s">
        <v>20</v>
      </c>
      <c r="L5132" t="s">
        <v>11919</v>
      </c>
      <c r="M5132" s="3" t="str">
        <f>HYPERLINK("..\..\Imagery\ScannedPhotos\1980\NN80-078.jpg")</f>
        <v>..\..\Imagery\ScannedPhotos\1980\NN80-078.jpg</v>
      </c>
    </row>
    <row r="5133" spans="1:13" x14ac:dyDescent="0.25">
      <c r="A5133" t="s">
        <v>7807</v>
      </c>
      <c r="B5133">
        <v>506625</v>
      </c>
      <c r="C5133">
        <v>5817866</v>
      </c>
      <c r="D5133">
        <v>21</v>
      </c>
      <c r="E5133" t="s">
        <v>15</v>
      </c>
      <c r="F5133" t="s">
        <v>11920</v>
      </c>
      <c r="G5133">
        <v>2</v>
      </c>
      <c r="H5133" t="s">
        <v>4591</v>
      </c>
      <c r="I5133" t="s">
        <v>222</v>
      </c>
      <c r="J5133" t="s">
        <v>1233</v>
      </c>
      <c r="K5133" t="s">
        <v>20</v>
      </c>
      <c r="L5133" t="s">
        <v>7809</v>
      </c>
      <c r="M5133" s="3" t="str">
        <f>HYPERLINK("..\..\Imagery\ScannedPhotos\1986\SN86-286.2.jpg")</f>
        <v>..\..\Imagery\ScannedPhotos\1986\SN86-286.2.jpg</v>
      </c>
    </row>
    <row r="5134" spans="1:13" x14ac:dyDescent="0.25">
      <c r="A5134" t="s">
        <v>11921</v>
      </c>
      <c r="B5134">
        <v>581256</v>
      </c>
      <c r="C5134">
        <v>5871863</v>
      </c>
      <c r="D5134">
        <v>21</v>
      </c>
      <c r="E5134" t="s">
        <v>15</v>
      </c>
      <c r="F5134" t="s">
        <v>11922</v>
      </c>
      <c r="G5134">
        <v>1</v>
      </c>
      <c r="H5134" t="s">
        <v>4591</v>
      </c>
      <c r="I5134" t="s">
        <v>30</v>
      </c>
      <c r="J5134" t="s">
        <v>1233</v>
      </c>
      <c r="K5134" t="s">
        <v>56</v>
      </c>
      <c r="L5134" t="s">
        <v>11923</v>
      </c>
      <c r="M5134" s="3" t="str">
        <f>HYPERLINK("..\..\Imagery\ScannedPhotos\1986\SN86-290.jpg")</f>
        <v>..\..\Imagery\ScannedPhotos\1986\SN86-290.jpg</v>
      </c>
    </row>
    <row r="5135" spans="1:13" x14ac:dyDescent="0.25">
      <c r="A5135" t="s">
        <v>11924</v>
      </c>
      <c r="B5135">
        <v>581222</v>
      </c>
      <c r="C5135">
        <v>5870164</v>
      </c>
      <c r="D5135">
        <v>21</v>
      </c>
      <c r="E5135" t="s">
        <v>15</v>
      </c>
      <c r="F5135" t="s">
        <v>11925</v>
      </c>
      <c r="G5135">
        <v>2</v>
      </c>
      <c r="H5135" t="s">
        <v>4591</v>
      </c>
      <c r="I5135" t="s">
        <v>126</v>
      </c>
      <c r="J5135" t="s">
        <v>1233</v>
      </c>
      <c r="K5135" t="s">
        <v>20</v>
      </c>
      <c r="L5135" t="s">
        <v>11926</v>
      </c>
      <c r="M5135" s="3" t="str">
        <f>HYPERLINK("..\..\Imagery\ScannedPhotos\1986\SN86-296.1.jpg")</f>
        <v>..\..\Imagery\ScannedPhotos\1986\SN86-296.1.jpg</v>
      </c>
    </row>
    <row r="5136" spans="1:13" x14ac:dyDescent="0.25">
      <c r="A5136" t="s">
        <v>11924</v>
      </c>
      <c r="B5136">
        <v>581222</v>
      </c>
      <c r="C5136">
        <v>5870164</v>
      </c>
      <c r="D5136">
        <v>21</v>
      </c>
      <c r="E5136" t="s">
        <v>15</v>
      </c>
      <c r="F5136" t="s">
        <v>11927</v>
      </c>
      <c r="G5136">
        <v>2</v>
      </c>
      <c r="H5136" t="s">
        <v>4591</v>
      </c>
      <c r="I5136" t="s">
        <v>108</v>
      </c>
      <c r="J5136" t="s">
        <v>1233</v>
      </c>
      <c r="K5136" t="s">
        <v>56</v>
      </c>
      <c r="L5136" t="s">
        <v>1020</v>
      </c>
      <c r="M5136" s="3" t="str">
        <f>HYPERLINK("..\..\Imagery\ScannedPhotos\1986\SN86-296.2.jpg")</f>
        <v>..\..\Imagery\ScannedPhotos\1986\SN86-296.2.jpg</v>
      </c>
    </row>
    <row r="5137" spans="1:14" x14ac:dyDescent="0.25">
      <c r="A5137" t="s">
        <v>11928</v>
      </c>
      <c r="B5137">
        <v>569846</v>
      </c>
      <c r="C5137">
        <v>5833247</v>
      </c>
      <c r="D5137">
        <v>21</v>
      </c>
      <c r="E5137" t="s">
        <v>15</v>
      </c>
      <c r="F5137" t="s">
        <v>11929</v>
      </c>
      <c r="G5137">
        <v>1</v>
      </c>
      <c r="H5137" t="s">
        <v>4591</v>
      </c>
      <c r="I5137" t="s">
        <v>129</v>
      </c>
      <c r="J5137" t="s">
        <v>1233</v>
      </c>
      <c r="K5137" t="s">
        <v>56</v>
      </c>
      <c r="L5137" t="s">
        <v>11930</v>
      </c>
      <c r="M5137" s="3" t="str">
        <f>HYPERLINK("..\..\Imagery\ScannedPhotos\1986\SN86-299.jpg")</f>
        <v>..\..\Imagery\ScannedPhotos\1986\SN86-299.jpg</v>
      </c>
    </row>
    <row r="5138" spans="1:14" x14ac:dyDescent="0.25">
      <c r="A5138" t="s">
        <v>11931</v>
      </c>
      <c r="B5138">
        <v>569326</v>
      </c>
      <c r="C5138">
        <v>5833586</v>
      </c>
      <c r="D5138">
        <v>21</v>
      </c>
      <c r="E5138" t="s">
        <v>15</v>
      </c>
      <c r="F5138" t="s">
        <v>11932</v>
      </c>
      <c r="G5138">
        <v>1</v>
      </c>
      <c r="H5138" t="s">
        <v>4591</v>
      </c>
      <c r="I5138" t="s">
        <v>143</v>
      </c>
      <c r="J5138" t="s">
        <v>1233</v>
      </c>
      <c r="K5138" t="s">
        <v>20</v>
      </c>
      <c r="L5138" t="s">
        <v>1358</v>
      </c>
      <c r="M5138" s="3" t="str">
        <f>HYPERLINK("..\..\Imagery\ScannedPhotos\1986\SN86-300.jpg")</f>
        <v>..\..\Imagery\ScannedPhotos\1986\SN86-300.jpg</v>
      </c>
    </row>
    <row r="5139" spans="1:14" x14ac:dyDescent="0.25">
      <c r="A5139" t="s">
        <v>11933</v>
      </c>
      <c r="B5139">
        <v>567455</v>
      </c>
      <c r="C5139">
        <v>5833820</v>
      </c>
      <c r="D5139">
        <v>21</v>
      </c>
      <c r="E5139" t="s">
        <v>15</v>
      </c>
      <c r="F5139" t="s">
        <v>11934</v>
      </c>
      <c r="G5139">
        <v>1</v>
      </c>
      <c r="H5139" t="s">
        <v>4591</v>
      </c>
      <c r="I5139" t="s">
        <v>147</v>
      </c>
      <c r="J5139" t="s">
        <v>1233</v>
      </c>
      <c r="K5139" t="s">
        <v>56</v>
      </c>
      <c r="L5139" t="s">
        <v>4133</v>
      </c>
      <c r="M5139" s="3" t="str">
        <f>HYPERLINK("..\..\Imagery\ScannedPhotos\1986\SN86-303.jpg")</f>
        <v>..\..\Imagery\ScannedPhotos\1986\SN86-303.jpg</v>
      </c>
    </row>
    <row r="5140" spans="1:14" x14ac:dyDescent="0.25">
      <c r="A5140" t="s">
        <v>11935</v>
      </c>
      <c r="B5140">
        <v>577612</v>
      </c>
      <c r="C5140">
        <v>5862927</v>
      </c>
      <c r="D5140">
        <v>21</v>
      </c>
      <c r="E5140" t="s">
        <v>15</v>
      </c>
      <c r="F5140" t="s">
        <v>11936</v>
      </c>
      <c r="G5140">
        <v>2</v>
      </c>
      <c r="H5140" t="s">
        <v>874</v>
      </c>
      <c r="I5140" t="s">
        <v>79</v>
      </c>
      <c r="J5140" t="s">
        <v>300</v>
      </c>
      <c r="K5140" t="s">
        <v>20</v>
      </c>
      <c r="L5140" t="s">
        <v>11937</v>
      </c>
      <c r="M5140" s="3" t="str">
        <f>HYPERLINK("..\..\Imagery\ScannedPhotos\1986\SN86-308.1.jpg")</f>
        <v>..\..\Imagery\ScannedPhotos\1986\SN86-308.1.jpg</v>
      </c>
    </row>
    <row r="5141" spans="1:14" x14ac:dyDescent="0.25">
      <c r="A5141" t="s">
        <v>11938</v>
      </c>
      <c r="B5141">
        <v>578599</v>
      </c>
      <c r="C5141">
        <v>5761760</v>
      </c>
      <c r="D5141">
        <v>21</v>
      </c>
      <c r="E5141" t="s">
        <v>15</v>
      </c>
      <c r="F5141" t="s">
        <v>11939</v>
      </c>
      <c r="G5141">
        <v>1</v>
      </c>
      <c r="H5141" t="s">
        <v>1618</v>
      </c>
      <c r="I5141" t="s">
        <v>132</v>
      </c>
      <c r="J5141" t="s">
        <v>1619</v>
      </c>
      <c r="K5141" t="s">
        <v>20</v>
      </c>
      <c r="L5141" t="s">
        <v>11940</v>
      </c>
      <c r="M5141" s="3" t="str">
        <f>HYPERLINK("..\..\Imagery\ScannedPhotos\1987\CG87-419.jpg")</f>
        <v>..\..\Imagery\ScannedPhotos\1987\CG87-419.jpg</v>
      </c>
    </row>
    <row r="5142" spans="1:14" x14ac:dyDescent="0.25">
      <c r="A5142" t="s">
        <v>11104</v>
      </c>
      <c r="B5142">
        <v>562287</v>
      </c>
      <c r="C5142">
        <v>5822681</v>
      </c>
      <c r="D5142">
        <v>21</v>
      </c>
      <c r="E5142" t="s">
        <v>15</v>
      </c>
      <c r="F5142" t="s">
        <v>11941</v>
      </c>
      <c r="G5142">
        <v>2</v>
      </c>
      <c r="H5142" t="s">
        <v>2291</v>
      </c>
      <c r="I5142" t="s">
        <v>209</v>
      </c>
      <c r="J5142" t="s">
        <v>2292</v>
      </c>
      <c r="K5142" t="s">
        <v>20</v>
      </c>
      <c r="L5142" t="s">
        <v>71</v>
      </c>
      <c r="M5142" s="3" t="str">
        <f>HYPERLINK("..\..\Imagery\ScannedPhotos\1986\SN86-438.2.jpg")</f>
        <v>..\..\Imagery\ScannedPhotos\1986\SN86-438.2.jpg</v>
      </c>
    </row>
    <row r="5143" spans="1:14" x14ac:dyDescent="0.25">
      <c r="A5143" t="s">
        <v>11942</v>
      </c>
      <c r="B5143">
        <v>555557</v>
      </c>
      <c r="C5143">
        <v>5820870</v>
      </c>
      <c r="D5143">
        <v>21</v>
      </c>
      <c r="E5143" t="s">
        <v>15</v>
      </c>
      <c r="F5143" t="s">
        <v>11943</v>
      </c>
      <c r="G5143">
        <v>2</v>
      </c>
      <c r="H5143" t="s">
        <v>2291</v>
      </c>
      <c r="I5143" t="s">
        <v>217</v>
      </c>
      <c r="J5143" t="s">
        <v>2292</v>
      </c>
      <c r="K5143" t="s">
        <v>20</v>
      </c>
      <c r="L5143" t="s">
        <v>11944</v>
      </c>
      <c r="M5143" s="3" t="str">
        <f>HYPERLINK("..\..\Imagery\ScannedPhotos\1986\SN86-441.1.jpg")</f>
        <v>..\..\Imagery\ScannedPhotos\1986\SN86-441.1.jpg</v>
      </c>
    </row>
    <row r="5144" spans="1:14" x14ac:dyDescent="0.25">
      <c r="A5144" t="s">
        <v>11942</v>
      </c>
      <c r="B5144">
        <v>555557</v>
      </c>
      <c r="C5144">
        <v>5820870</v>
      </c>
      <c r="D5144">
        <v>21</v>
      </c>
      <c r="E5144" t="s">
        <v>15</v>
      </c>
      <c r="F5144" t="s">
        <v>11945</v>
      </c>
      <c r="G5144">
        <v>2</v>
      </c>
      <c r="H5144" t="s">
        <v>2291</v>
      </c>
      <c r="I5144" t="s">
        <v>214</v>
      </c>
      <c r="J5144" t="s">
        <v>2292</v>
      </c>
      <c r="K5144" t="s">
        <v>56</v>
      </c>
      <c r="L5144" t="s">
        <v>11944</v>
      </c>
      <c r="M5144" s="3" t="str">
        <f>HYPERLINK("..\..\Imagery\ScannedPhotos\1986\SN86-441.2.jpg")</f>
        <v>..\..\Imagery\ScannedPhotos\1986\SN86-441.2.jpg</v>
      </c>
    </row>
    <row r="5145" spans="1:14" x14ac:dyDescent="0.25">
      <c r="A5145" t="s">
        <v>11946</v>
      </c>
      <c r="B5145">
        <v>422025</v>
      </c>
      <c r="C5145">
        <v>5858075</v>
      </c>
      <c r="D5145">
        <v>21</v>
      </c>
      <c r="E5145" t="s">
        <v>15</v>
      </c>
      <c r="F5145" t="s">
        <v>11947</v>
      </c>
      <c r="G5145">
        <v>2</v>
      </c>
      <c r="H5145" t="s">
        <v>770</v>
      </c>
      <c r="I5145" t="s">
        <v>418</v>
      </c>
      <c r="J5145" t="s">
        <v>771</v>
      </c>
      <c r="K5145" t="s">
        <v>56</v>
      </c>
      <c r="L5145" t="s">
        <v>1395</v>
      </c>
      <c r="M5145" s="3" t="str">
        <f>HYPERLINK("..\..\Imagery\ScannedPhotos\1997\CG97-061.1.jpg")</f>
        <v>..\..\Imagery\ScannedPhotos\1997\CG97-061.1.jpg</v>
      </c>
    </row>
    <row r="5146" spans="1:14" x14ac:dyDescent="0.25">
      <c r="A5146" t="s">
        <v>1911</v>
      </c>
      <c r="B5146">
        <v>413177</v>
      </c>
      <c r="C5146">
        <v>5871511</v>
      </c>
      <c r="D5146">
        <v>21</v>
      </c>
      <c r="E5146" t="s">
        <v>15</v>
      </c>
      <c r="F5146" t="s">
        <v>11948</v>
      </c>
      <c r="G5146">
        <v>7</v>
      </c>
      <c r="H5146" t="s">
        <v>1913</v>
      </c>
      <c r="I5146" t="s">
        <v>418</v>
      </c>
      <c r="J5146" t="s">
        <v>771</v>
      </c>
      <c r="K5146" t="s">
        <v>535</v>
      </c>
      <c r="L5146" t="s">
        <v>11949</v>
      </c>
      <c r="M5146" s="3" t="str">
        <f>HYPERLINK("..\..\Imagery\ScannedPhotos\1997\CG97-066.7.jpg")</f>
        <v>..\..\Imagery\ScannedPhotos\1997\CG97-066.7.jpg</v>
      </c>
    </row>
    <row r="5147" spans="1:14" x14ac:dyDescent="0.25">
      <c r="A5147" t="s">
        <v>1911</v>
      </c>
      <c r="B5147">
        <v>413177</v>
      </c>
      <c r="C5147">
        <v>5871511</v>
      </c>
      <c r="D5147">
        <v>21</v>
      </c>
      <c r="E5147" t="s">
        <v>15</v>
      </c>
      <c r="F5147" t="s">
        <v>11950</v>
      </c>
      <c r="G5147">
        <v>7</v>
      </c>
      <c r="H5147" t="s">
        <v>1913</v>
      </c>
      <c r="I5147" t="s">
        <v>217</v>
      </c>
      <c r="J5147" t="s">
        <v>771</v>
      </c>
      <c r="K5147" t="s">
        <v>228</v>
      </c>
      <c r="L5147" t="s">
        <v>1916</v>
      </c>
      <c r="M5147" s="3" t="str">
        <f>HYPERLINK("..\..\Imagery\ScannedPhotos\1997\CG97-066.4.jpg")</f>
        <v>..\..\Imagery\ScannedPhotos\1997\CG97-066.4.jpg</v>
      </c>
    </row>
    <row r="5148" spans="1:14" x14ac:dyDescent="0.25">
      <c r="A5148" t="s">
        <v>11951</v>
      </c>
      <c r="B5148">
        <v>406152</v>
      </c>
      <c r="C5148">
        <v>6074809</v>
      </c>
      <c r="D5148">
        <v>21</v>
      </c>
      <c r="E5148" t="s">
        <v>15</v>
      </c>
      <c r="F5148" t="s">
        <v>11952</v>
      </c>
      <c r="G5148">
        <v>3</v>
      </c>
      <c r="H5148" t="s">
        <v>1207</v>
      </c>
      <c r="I5148" t="s">
        <v>74</v>
      </c>
      <c r="J5148" t="s">
        <v>1208</v>
      </c>
      <c r="K5148" t="s">
        <v>228</v>
      </c>
      <c r="L5148" t="s">
        <v>11953</v>
      </c>
      <c r="M5148" s="3" t="str">
        <f>HYPERLINK("..\..\Imagery\ScannedPhotos\1979\CG79-059.1E.jpg")</f>
        <v>..\..\Imagery\ScannedPhotos\1979\CG79-059.1E.jpg</v>
      </c>
      <c r="N5148" t="s">
        <v>1808</v>
      </c>
    </row>
    <row r="5149" spans="1:14" x14ac:dyDescent="0.25">
      <c r="A5149" t="s">
        <v>11951</v>
      </c>
      <c r="B5149">
        <v>406152</v>
      </c>
      <c r="C5149">
        <v>6074809</v>
      </c>
      <c r="D5149">
        <v>21</v>
      </c>
      <c r="E5149" t="s">
        <v>15</v>
      </c>
      <c r="F5149" t="s">
        <v>11954</v>
      </c>
      <c r="G5149">
        <v>3</v>
      </c>
      <c r="H5149" t="s">
        <v>1207</v>
      </c>
      <c r="I5149" t="s">
        <v>41</v>
      </c>
      <c r="J5149" t="s">
        <v>1208</v>
      </c>
      <c r="K5149" t="s">
        <v>228</v>
      </c>
      <c r="L5149" t="s">
        <v>11953</v>
      </c>
      <c r="M5149" s="3" t="str">
        <f>HYPERLINK("..\..\Imagery\ScannedPhotos\1979\CG79-059.2E.jpg")</f>
        <v>..\..\Imagery\ScannedPhotos\1979\CG79-059.2E.jpg</v>
      </c>
      <c r="N5149" t="s">
        <v>1808</v>
      </c>
    </row>
    <row r="5150" spans="1:14" x14ac:dyDescent="0.25">
      <c r="A5150" t="s">
        <v>11951</v>
      </c>
      <c r="B5150">
        <v>406152</v>
      </c>
      <c r="C5150">
        <v>6074809</v>
      </c>
      <c r="D5150">
        <v>21</v>
      </c>
      <c r="E5150" t="s">
        <v>15</v>
      </c>
      <c r="F5150" t="s">
        <v>11955</v>
      </c>
      <c r="G5150">
        <v>3</v>
      </c>
      <c r="H5150" t="s">
        <v>1207</v>
      </c>
      <c r="I5150" t="s">
        <v>85</v>
      </c>
      <c r="J5150" t="s">
        <v>1208</v>
      </c>
      <c r="K5150" t="s">
        <v>228</v>
      </c>
      <c r="L5150" t="s">
        <v>11956</v>
      </c>
      <c r="M5150" s="3" t="str">
        <f>HYPERLINK("..\..\Imagery\ScannedPhotos\1979\CG79-059.3E.jpg")</f>
        <v>..\..\Imagery\ScannedPhotos\1979\CG79-059.3E.jpg</v>
      </c>
      <c r="N5150" t="s">
        <v>1808</v>
      </c>
    </row>
    <row r="5151" spans="1:14" x14ac:dyDescent="0.25">
      <c r="A5151" t="s">
        <v>8095</v>
      </c>
      <c r="B5151">
        <v>410978</v>
      </c>
      <c r="C5151">
        <v>6077598</v>
      </c>
      <c r="D5151">
        <v>21</v>
      </c>
      <c r="E5151" t="s">
        <v>15</v>
      </c>
      <c r="F5151" t="s">
        <v>11957</v>
      </c>
      <c r="G5151">
        <v>2</v>
      </c>
      <c r="H5151" t="s">
        <v>1207</v>
      </c>
      <c r="I5151" t="s">
        <v>375</v>
      </c>
      <c r="J5151" t="s">
        <v>1208</v>
      </c>
      <c r="K5151" t="s">
        <v>20</v>
      </c>
      <c r="L5151" t="s">
        <v>11958</v>
      </c>
      <c r="M5151" s="3" t="str">
        <f>HYPERLINK("..\..\Imagery\ScannedPhotos\1979\CG79-065.1cropped.jpg")</f>
        <v>..\..\Imagery\ScannedPhotos\1979\CG79-065.1cropped.jpg</v>
      </c>
      <c r="N5151" t="s">
        <v>4297</v>
      </c>
    </row>
    <row r="5152" spans="1:14" x14ac:dyDescent="0.25">
      <c r="A5152" t="s">
        <v>11959</v>
      </c>
      <c r="B5152">
        <v>412655</v>
      </c>
      <c r="C5152">
        <v>6081934</v>
      </c>
      <c r="D5152">
        <v>21</v>
      </c>
      <c r="E5152" t="s">
        <v>15</v>
      </c>
      <c r="F5152" t="s">
        <v>11960</v>
      </c>
      <c r="G5152">
        <v>1</v>
      </c>
      <c r="H5152" t="s">
        <v>1207</v>
      </c>
      <c r="I5152" t="s">
        <v>217</v>
      </c>
      <c r="J5152" t="s">
        <v>1208</v>
      </c>
      <c r="K5152" t="s">
        <v>20</v>
      </c>
      <c r="L5152" t="s">
        <v>1236</v>
      </c>
      <c r="M5152" s="3" t="str">
        <f>HYPERLINK("..\..\Imagery\ScannedPhotos\1979\CG79-073cropped.jpg")</f>
        <v>..\..\Imagery\ScannedPhotos\1979\CG79-073cropped.jpg</v>
      </c>
      <c r="N5152" t="s">
        <v>4297</v>
      </c>
    </row>
    <row r="5153" spans="1:14" x14ac:dyDescent="0.25">
      <c r="A5153" t="s">
        <v>761</v>
      </c>
      <c r="B5153">
        <v>488663</v>
      </c>
      <c r="C5153">
        <v>5977805</v>
      </c>
      <c r="D5153">
        <v>21</v>
      </c>
      <c r="E5153" t="s">
        <v>15</v>
      </c>
      <c r="F5153" t="s">
        <v>11961</v>
      </c>
      <c r="G5153">
        <v>2</v>
      </c>
      <c r="H5153" t="s">
        <v>46</v>
      </c>
      <c r="I5153" t="s">
        <v>281</v>
      </c>
      <c r="J5153" t="s">
        <v>48</v>
      </c>
      <c r="K5153" t="s">
        <v>228</v>
      </c>
      <c r="L5153" t="s">
        <v>6265</v>
      </c>
      <c r="M5153" s="3" t="str">
        <f>HYPERLINK("..\..\Imagery\ScannedPhotos\1981\GF81-003.2E.jpg")</f>
        <v>..\..\Imagery\ScannedPhotos\1981\GF81-003.2E.jpg</v>
      </c>
      <c r="N5153" t="s">
        <v>1808</v>
      </c>
    </row>
    <row r="5154" spans="1:14" x14ac:dyDescent="0.25">
      <c r="A5154" t="s">
        <v>11962</v>
      </c>
      <c r="B5154">
        <v>510285</v>
      </c>
      <c r="C5154">
        <v>5954261</v>
      </c>
      <c r="D5154">
        <v>21</v>
      </c>
      <c r="E5154" t="s">
        <v>15</v>
      </c>
      <c r="F5154" t="s">
        <v>11963</v>
      </c>
      <c r="G5154">
        <v>1</v>
      </c>
      <c r="H5154" t="s">
        <v>7129</v>
      </c>
      <c r="I5154" t="s">
        <v>108</v>
      </c>
      <c r="J5154" t="s">
        <v>48</v>
      </c>
      <c r="K5154" t="s">
        <v>20</v>
      </c>
      <c r="L5154" t="s">
        <v>4957</v>
      </c>
      <c r="M5154" s="3" t="str">
        <f>HYPERLINK("..\..\Imagery\ScannedPhotos\1981\VO81-538.jpg")</f>
        <v>..\..\Imagery\ScannedPhotos\1981\VO81-538.jpg</v>
      </c>
    </row>
    <row r="5155" spans="1:14" x14ac:dyDescent="0.25">
      <c r="A5155" t="s">
        <v>6343</v>
      </c>
      <c r="B5155">
        <v>588767</v>
      </c>
      <c r="C5155">
        <v>5773125</v>
      </c>
      <c r="D5155">
        <v>21</v>
      </c>
      <c r="E5155" t="s">
        <v>15</v>
      </c>
      <c r="F5155" t="s">
        <v>11964</v>
      </c>
      <c r="G5155">
        <v>4</v>
      </c>
      <c r="H5155" t="s">
        <v>1513</v>
      </c>
      <c r="I5155" t="s">
        <v>386</v>
      </c>
      <c r="J5155" t="s">
        <v>1514</v>
      </c>
      <c r="K5155" t="s">
        <v>20</v>
      </c>
      <c r="L5155" t="s">
        <v>4390</v>
      </c>
      <c r="M5155" s="3" t="str">
        <f>HYPERLINK("..\..\Imagery\ScannedPhotos\1992\VO92-020.4E.jpg")</f>
        <v>..\..\Imagery\ScannedPhotos\1992\VO92-020.4E.jpg</v>
      </c>
      <c r="N5155" t="s">
        <v>1808</v>
      </c>
    </row>
    <row r="5156" spans="1:14" x14ac:dyDescent="0.25">
      <c r="A5156" t="s">
        <v>4504</v>
      </c>
      <c r="B5156">
        <v>464726</v>
      </c>
      <c r="C5156">
        <v>5927866</v>
      </c>
      <c r="D5156">
        <v>21</v>
      </c>
      <c r="E5156" t="s">
        <v>15</v>
      </c>
      <c r="F5156" t="s">
        <v>11965</v>
      </c>
      <c r="G5156">
        <v>8</v>
      </c>
      <c r="H5156" t="s">
        <v>4506</v>
      </c>
      <c r="I5156" t="s">
        <v>418</v>
      </c>
      <c r="J5156" t="s">
        <v>2247</v>
      </c>
      <c r="K5156" t="s">
        <v>56</v>
      </c>
      <c r="L5156" t="s">
        <v>4509</v>
      </c>
      <c r="M5156" s="3" t="str">
        <f>HYPERLINK("..\..\Imagery\ScannedPhotos\1984\CG84-442.8.jpg")</f>
        <v>..\..\Imagery\ScannedPhotos\1984\CG84-442.8.jpg</v>
      </c>
    </row>
    <row r="5157" spans="1:14" x14ac:dyDescent="0.25">
      <c r="A5157" t="s">
        <v>4322</v>
      </c>
      <c r="B5157">
        <v>596512</v>
      </c>
      <c r="C5157">
        <v>5791524</v>
      </c>
      <c r="D5157">
        <v>21</v>
      </c>
      <c r="E5157" t="s">
        <v>15</v>
      </c>
      <c r="F5157" t="s">
        <v>11966</v>
      </c>
      <c r="G5157">
        <v>3</v>
      </c>
      <c r="H5157" t="s">
        <v>1650</v>
      </c>
      <c r="I5157" t="s">
        <v>386</v>
      </c>
      <c r="J5157" t="s">
        <v>1651</v>
      </c>
      <c r="K5157" t="s">
        <v>56</v>
      </c>
      <c r="L5157" t="s">
        <v>7399</v>
      </c>
      <c r="M5157" s="3" t="str">
        <f>HYPERLINK("..\..\Imagery\ScannedPhotos\1987\CG87-491.3.jpg")</f>
        <v>..\..\Imagery\ScannedPhotos\1987\CG87-491.3.jpg</v>
      </c>
    </row>
    <row r="5158" spans="1:14" x14ac:dyDescent="0.25">
      <c r="A5158" t="s">
        <v>4327</v>
      </c>
      <c r="B5158">
        <v>596516</v>
      </c>
      <c r="C5158">
        <v>5791197</v>
      </c>
      <c r="D5158">
        <v>21</v>
      </c>
      <c r="E5158" t="s">
        <v>15</v>
      </c>
      <c r="F5158" t="s">
        <v>11967</v>
      </c>
      <c r="G5158">
        <v>3</v>
      </c>
      <c r="H5158" t="s">
        <v>1650</v>
      </c>
      <c r="I5158" t="s">
        <v>214</v>
      </c>
      <c r="J5158" t="s">
        <v>1651</v>
      </c>
      <c r="K5158" t="s">
        <v>20</v>
      </c>
      <c r="L5158" t="s">
        <v>4329</v>
      </c>
      <c r="M5158" s="3" t="str">
        <f>HYPERLINK("..\..\Imagery\ScannedPhotos\1987\CG87-492.2.jpg")</f>
        <v>..\..\Imagery\ScannedPhotos\1987\CG87-492.2.jpg</v>
      </c>
    </row>
    <row r="5159" spans="1:14" x14ac:dyDescent="0.25">
      <c r="A5159" t="s">
        <v>11577</v>
      </c>
      <c r="B5159">
        <v>583162</v>
      </c>
      <c r="C5159">
        <v>5824667</v>
      </c>
      <c r="D5159">
        <v>21</v>
      </c>
      <c r="E5159" t="s">
        <v>15</v>
      </c>
      <c r="F5159" t="s">
        <v>11968</v>
      </c>
      <c r="G5159">
        <v>2</v>
      </c>
      <c r="H5159" t="s">
        <v>99</v>
      </c>
      <c r="I5159" t="s">
        <v>47</v>
      </c>
      <c r="J5159" t="s">
        <v>100</v>
      </c>
      <c r="K5159" t="s">
        <v>20</v>
      </c>
      <c r="L5159" t="s">
        <v>11969</v>
      </c>
      <c r="M5159" s="3" t="str">
        <f>HYPERLINK("..\..\Imagery\ScannedPhotos\1986\MN86-429.1.jpg")</f>
        <v>..\..\Imagery\ScannedPhotos\1986\MN86-429.1.jpg</v>
      </c>
    </row>
    <row r="5160" spans="1:14" x14ac:dyDescent="0.25">
      <c r="A5160" t="s">
        <v>11970</v>
      </c>
      <c r="B5160">
        <v>579253</v>
      </c>
      <c r="C5160">
        <v>5821194</v>
      </c>
      <c r="D5160">
        <v>21</v>
      </c>
      <c r="E5160" t="s">
        <v>15</v>
      </c>
      <c r="F5160" t="s">
        <v>11971</v>
      </c>
      <c r="G5160">
        <v>1</v>
      </c>
      <c r="H5160" t="s">
        <v>6213</v>
      </c>
      <c r="I5160" t="s">
        <v>79</v>
      </c>
      <c r="J5160" t="s">
        <v>3202</v>
      </c>
      <c r="K5160" t="s">
        <v>20</v>
      </c>
      <c r="L5160" t="s">
        <v>11972</v>
      </c>
      <c r="M5160" s="3" t="str">
        <f>HYPERLINK("..\..\Imagery\ScannedPhotos\1986\MN86-438.jpg")</f>
        <v>..\..\Imagery\ScannedPhotos\1986\MN86-438.jpg</v>
      </c>
    </row>
    <row r="5161" spans="1:14" x14ac:dyDescent="0.25">
      <c r="A5161" t="s">
        <v>11973</v>
      </c>
      <c r="B5161">
        <v>567458</v>
      </c>
      <c r="C5161">
        <v>5933649</v>
      </c>
      <c r="D5161">
        <v>21</v>
      </c>
      <c r="E5161" t="s">
        <v>15</v>
      </c>
      <c r="F5161" t="s">
        <v>11974</v>
      </c>
      <c r="G5161">
        <v>4</v>
      </c>
      <c r="H5161" t="s">
        <v>1582</v>
      </c>
      <c r="I5161" t="s">
        <v>41</v>
      </c>
      <c r="J5161" t="s">
        <v>1583</v>
      </c>
      <c r="K5161" t="s">
        <v>20</v>
      </c>
      <c r="L5161" t="s">
        <v>11975</v>
      </c>
      <c r="M5161" s="3" t="str">
        <f>HYPERLINK("..\..\Imagery\ScannedPhotos\1985\GM85-652.3.jpg")</f>
        <v>..\..\Imagery\ScannedPhotos\1985\GM85-652.3.jpg</v>
      </c>
    </row>
    <row r="5162" spans="1:14" x14ac:dyDescent="0.25">
      <c r="A5162" t="s">
        <v>11973</v>
      </c>
      <c r="B5162">
        <v>567458</v>
      </c>
      <c r="C5162">
        <v>5933649</v>
      </c>
      <c r="D5162">
        <v>21</v>
      </c>
      <c r="E5162" t="s">
        <v>15</v>
      </c>
      <c r="F5162" t="s">
        <v>11976</v>
      </c>
      <c r="G5162">
        <v>4</v>
      </c>
      <c r="H5162" t="s">
        <v>1582</v>
      </c>
      <c r="I5162" t="s">
        <v>69</v>
      </c>
      <c r="J5162" t="s">
        <v>1583</v>
      </c>
      <c r="K5162" t="s">
        <v>20</v>
      </c>
      <c r="L5162" t="s">
        <v>11975</v>
      </c>
      <c r="M5162" s="3" t="str">
        <f>HYPERLINK("..\..\Imagery\ScannedPhotos\1985\GM85-652.1.jpg")</f>
        <v>..\..\Imagery\ScannedPhotos\1985\GM85-652.1.jpg</v>
      </c>
    </row>
    <row r="5163" spans="1:14" x14ac:dyDescent="0.25">
      <c r="A5163" t="s">
        <v>11973</v>
      </c>
      <c r="B5163">
        <v>567458</v>
      </c>
      <c r="C5163">
        <v>5933649</v>
      </c>
      <c r="D5163">
        <v>21</v>
      </c>
      <c r="E5163" t="s">
        <v>15</v>
      </c>
      <c r="F5163" t="s">
        <v>11977</v>
      </c>
      <c r="G5163">
        <v>4</v>
      </c>
      <c r="H5163" t="s">
        <v>1582</v>
      </c>
      <c r="I5163" t="s">
        <v>74</v>
      </c>
      <c r="J5163" t="s">
        <v>1583</v>
      </c>
      <c r="K5163" t="s">
        <v>20</v>
      </c>
      <c r="L5163" t="s">
        <v>11975</v>
      </c>
      <c r="M5163" s="3" t="str">
        <f>HYPERLINK("..\..\Imagery\ScannedPhotos\1985\GM85-652.2.jpg")</f>
        <v>..\..\Imagery\ScannedPhotos\1985\GM85-652.2.jpg</v>
      </c>
    </row>
    <row r="5164" spans="1:14" x14ac:dyDescent="0.25">
      <c r="A5164" t="s">
        <v>11973</v>
      </c>
      <c r="B5164">
        <v>567458</v>
      </c>
      <c r="C5164">
        <v>5933649</v>
      </c>
      <c r="D5164">
        <v>21</v>
      </c>
      <c r="E5164" t="s">
        <v>15</v>
      </c>
      <c r="F5164" t="s">
        <v>11978</v>
      </c>
      <c r="G5164">
        <v>4</v>
      </c>
      <c r="H5164" t="s">
        <v>1582</v>
      </c>
      <c r="I5164" t="s">
        <v>85</v>
      </c>
      <c r="J5164" t="s">
        <v>1583</v>
      </c>
      <c r="K5164" t="s">
        <v>20</v>
      </c>
      <c r="L5164" t="s">
        <v>11975</v>
      </c>
      <c r="M5164" s="3" t="str">
        <f>HYPERLINK("..\..\Imagery\ScannedPhotos\1985\GM85-652.4.jpg")</f>
        <v>..\..\Imagery\ScannedPhotos\1985\GM85-652.4.jpg</v>
      </c>
    </row>
    <row r="5165" spans="1:14" x14ac:dyDescent="0.25">
      <c r="A5165" t="s">
        <v>4261</v>
      </c>
      <c r="B5165">
        <v>567789</v>
      </c>
      <c r="C5165">
        <v>5933508</v>
      </c>
      <c r="D5165">
        <v>21</v>
      </c>
      <c r="E5165" t="s">
        <v>15</v>
      </c>
      <c r="F5165" t="s">
        <v>11979</v>
      </c>
      <c r="G5165">
        <v>3</v>
      </c>
      <c r="H5165" t="s">
        <v>1582</v>
      </c>
      <c r="I5165" t="s">
        <v>209</v>
      </c>
      <c r="J5165" t="s">
        <v>1583</v>
      </c>
      <c r="K5165" t="s">
        <v>20</v>
      </c>
      <c r="L5165" t="s">
        <v>4263</v>
      </c>
      <c r="M5165" s="3" t="str">
        <f>HYPERLINK("..\..\Imagery\ScannedPhotos\1985\GM85-653.3.jpg")</f>
        <v>..\..\Imagery\ScannedPhotos\1985\GM85-653.3.jpg</v>
      </c>
    </row>
    <row r="5166" spans="1:14" x14ac:dyDescent="0.25">
      <c r="A5166" t="s">
        <v>11980</v>
      </c>
      <c r="B5166">
        <v>415061</v>
      </c>
      <c r="C5166">
        <v>6011191</v>
      </c>
      <c r="D5166">
        <v>21</v>
      </c>
      <c r="E5166" t="s">
        <v>15</v>
      </c>
      <c r="F5166" t="s">
        <v>11981</v>
      </c>
      <c r="G5166">
        <v>3</v>
      </c>
      <c r="H5166" t="s">
        <v>2319</v>
      </c>
      <c r="I5166" t="s">
        <v>94</v>
      </c>
      <c r="J5166" t="s">
        <v>759</v>
      </c>
      <c r="K5166" t="s">
        <v>20</v>
      </c>
      <c r="L5166" t="s">
        <v>11982</v>
      </c>
      <c r="M5166" s="3" t="str">
        <f>HYPERLINK("..\..\Imagery\ScannedPhotos\1980\CG80-008.1.jpg")</f>
        <v>..\..\Imagery\ScannedPhotos\1980\CG80-008.1.jpg</v>
      </c>
    </row>
    <row r="5167" spans="1:14" x14ac:dyDescent="0.25">
      <c r="A5167" t="s">
        <v>11983</v>
      </c>
      <c r="B5167">
        <v>414800</v>
      </c>
      <c r="C5167">
        <v>6011100</v>
      </c>
      <c r="D5167">
        <v>21</v>
      </c>
      <c r="E5167" t="s">
        <v>15</v>
      </c>
      <c r="F5167" t="s">
        <v>11984</v>
      </c>
      <c r="G5167">
        <v>1</v>
      </c>
      <c r="H5167" t="s">
        <v>2319</v>
      </c>
      <c r="I5167" t="s">
        <v>209</v>
      </c>
      <c r="J5167" t="s">
        <v>759</v>
      </c>
      <c r="K5167" t="s">
        <v>20</v>
      </c>
      <c r="L5167" t="s">
        <v>11985</v>
      </c>
      <c r="M5167" s="3" t="str">
        <f>HYPERLINK("..\..\Imagery\ScannedPhotos\1980\CG80-009.jpg")</f>
        <v>..\..\Imagery\ScannedPhotos\1980\CG80-009.jpg</v>
      </c>
    </row>
    <row r="5168" spans="1:14" x14ac:dyDescent="0.25">
      <c r="A5168" t="s">
        <v>11986</v>
      </c>
      <c r="B5168">
        <v>414655</v>
      </c>
      <c r="C5168">
        <v>6011070</v>
      </c>
      <c r="D5168">
        <v>21</v>
      </c>
      <c r="E5168" t="s">
        <v>15</v>
      </c>
      <c r="F5168" t="s">
        <v>11987</v>
      </c>
      <c r="G5168">
        <v>1</v>
      </c>
      <c r="H5168" t="s">
        <v>2319</v>
      </c>
      <c r="I5168" t="s">
        <v>386</v>
      </c>
      <c r="J5168" t="s">
        <v>759</v>
      </c>
      <c r="K5168" t="s">
        <v>20</v>
      </c>
      <c r="L5168" t="s">
        <v>11988</v>
      </c>
      <c r="M5168" s="3" t="str">
        <f>HYPERLINK("..\..\Imagery\ScannedPhotos\1980\CG80-010.jpg")</f>
        <v>..\..\Imagery\ScannedPhotos\1980\CG80-010.jpg</v>
      </c>
    </row>
    <row r="5169" spans="1:13" x14ac:dyDescent="0.25">
      <c r="A5169" t="s">
        <v>7627</v>
      </c>
      <c r="B5169">
        <v>468283</v>
      </c>
      <c r="C5169">
        <v>5820924</v>
      </c>
      <c r="D5169">
        <v>21</v>
      </c>
      <c r="E5169" t="s">
        <v>15</v>
      </c>
      <c r="F5169" t="s">
        <v>11989</v>
      </c>
      <c r="G5169">
        <v>2</v>
      </c>
      <c r="H5169" t="s">
        <v>412</v>
      </c>
      <c r="I5169" t="s">
        <v>214</v>
      </c>
      <c r="J5169" t="s">
        <v>413</v>
      </c>
      <c r="K5169" t="s">
        <v>20</v>
      </c>
      <c r="L5169" t="s">
        <v>11990</v>
      </c>
      <c r="M5169" s="3" t="str">
        <f>HYPERLINK("..\..\Imagery\ScannedPhotos\1991\DD91-091.2.jpg")</f>
        <v>..\..\Imagery\ScannedPhotos\1991\DD91-091.2.jpg</v>
      </c>
    </row>
    <row r="5170" spans="1:13" x14ac:dyDescent="0.25">
      <c r="A5170" t="s">
        <v>10040</v>
      </c>
      <c r="B5170">
        <v>541092</v>
      </c>
      <c r="C5170">
        <v>5958189</v>
      </c>
      <c r="D5170">
        <v>21</v>
      </c>
      <c r="E5170" t="s">
        <v>15</v>
      </c>
      <c r="F5170" t="s">
        <v>11991</v>
      </c>
      <c r="G5170">
        <v>8</v>
      </c>
      <c r="H5170" t="s">
        <v>1480</v>
      </c>
      <c r="I5170" t="s">
        <v>209</v>
      </c>
      <c r="J5170" t="s">
        <v>48</v>
      </c>
      <c r="K5170" t="s">
        <v>20</v>
      </c>
      <c r="L5170" t="s">
        <v>733</v>
      </c>
      <c r="M5170" s="3" t="str">
        <f>HYPERLINK("..\..\Imagery\ScannedPhotos\1981\CG81-314.7.jpg")</f>
        <v>..\..\Imagery\ScannedPhotos\1981\CG81-314.7.jpg</v>
      </c>
    </row>
    <row r="5171" spans="1:13" x14ac:dyDescent="0.25">
      <c r="A5171" t="s">
        <v>10040</v>
      </c>
      <c r="B5171">
        <v>541092</v>
      </c>
      <c r="C5171">
        <v>5958189</v>
      </c>
      <c r="D5171">
        <v>21</v>
      </c>
      <c r="E5171" t="s">
        <v>15</v>
      </c>
      <c r="F5171" t="s">
        <v>11992</v>
      </c>
      <c r="G5171">
        <v>8</v>
      </c>
      <c r="H5171" t="s">
        <v>1480</v>
      </c>
      <c r="I5171" t="s">
        <v>94</v>
      </c>
      <c r="J5171" t="s">
        <v>48</v>
      </c>
      <c r="K5171" t="s">
        <v>20</v>
      </c>
      <c r="L5171" t="s">
        <v>733</v>
      </c>
      <c r="M5171" s="3" t="str">
        <f>HYPERLINK("..\..\Imagery\ScannedPhotos\1981\CG81-314.6.jpg")</f>
        <v>..\..\Imagery\ScannedPhotos\1981\CG81-314.6.jpg</v>
      </c>
    </row>
    <row r="5172" spans="1:13" x14ac:dyDescent="0.25">
      <c r="A5172" t="s">
        <v>3764</v>
      </c>
      <c r="B5172">
        <v>374618</v>
      </c>
      <c r="C5172">
        <v>5924870</v>
      </c>
      <c r="D5172">
        <v>21</v>
      </c>
      <c r="E5172" t="s">
        <v>15</v>
      </c>
      <c r="F5172" t="s">
        <v>11993</v>
      </c>
      <c r="G5172">
        <v>2</v>
      </c>
      <c r="H5172" t="s">
        <v>3762</v>
      </c>
      <c r="I5172" t="s">
        <v>35</v>
      </c>
      <c r="J5172" t="s">
        <v>557</v>
      </c>
      <c r="K5172" t="s">
        <v>20</v>
      </c>
      <c r="L5172" t="s">
        <v>3766</v>
      </c>
      <c r="M5172" s="3" t="str">
        <f>HYPERLINK("..\..\Imagery\ScannedPhotos\1995\CG95-239.2.jpg")</f>
        <v>..\..\Imagery\ScannedPhotos\1995\CG95-239.2.jpg</v>
      </c>
    </row>
    <row r="5173" spans="1:13" x14ac:dyDescent="0.25">
      <c r="A5173" t="s">
        <v>11994</v>
      </c>
      <c r="B5173">
        <v>561335</v>
      </c>
      <c r="C5173">
        <v>5807844</v>
      </c>
      <c r="D5173">
        <v>21</v>
      </c>
      <c r="E5173" t="s">
        <v>15</v>
      </c>
      <c r="F5173" t="s">
        <v>11995</v>
      </c>
      <c r="G5173">
        <v>1</v>
      </c>
      <c r="K5173" t="s">
        <v>20</v>
      </c>
      <c r="L5173" t="s">
        <v>11214</v>
      </c>
      <c r="M5173" s="3" t="str">
        <f>HYPERLINK("..\..\Imagery\ScannedPhotos\2003\CG03-182.jpg")</f>
        <v>..\..\Imagery\ScannedPhotos\2003\CG03-182.jpg</v>
      </c>
    </row>
    <row r="5174" spans="1:13" x14ac:dyDescent="0.25">
      <c r="A5174" t="s">
        <v>9410</v>
      </c>
      <c r="B5174">
        <v>498390</v>
      </c>
      <c r="C5174">
        <v>6036659</v>
      </c>
      <c r="D5174">
        <v>21</v>
      </c>
      <c r="E5174" t="s">
        <v>15</v>
      </c>
      <c r="F5174" t="s">
        <v>11996</v>
      </c>
      <c r="G5174">
        <v>5</v>
      </c>
      <c r="H5174" t="s">
        <v>835</v>
      </c>
      <c r="I5174" t="s">
        <v>35</v>
      </c>
      <c r="J5174" t="s">
        <v>423</v>
      </c>
      <c r="K5174" t="s">
        <v>20</v>
      </c>
      <c r="L5174" t="s">
        <v>11997</v>
      </c>
      <c r="M5174" s="3" t="str">
        <f>HYPERLINK("..\..\Imagery\ScannedPhotos\1979\CG79-340.4.jpg")</f>
        <v>..\..\Imagery\ScannedPhotos\1979\CG79-340.4.jpg</v>
      </c>
    </row>
    <row r="5175" spans="1:13" x14ac:dyDescent="0.25">
      <c r="A5175" t="s">
        <v>1302</v>
      </c>
      <c r="B5175">
        <v>482525</v>
      </c>
      <c r="C5175">
        <v>5823775</v>
      </c>
      <c r="D5175">
        <v>21</v>
      </c>
      <c r="E5175" t="s">
        <v>15</v>
      </c>
      <c r="F5175" t="s">
        <v>11998</v>
      </c>
      <c r="G5175">
        <v>3</v>
      </c>
      <c r="H5175" t="s">
        <v>412</v>
      </c>
      <c r="I5175" t="s">
        <v>304</v>
      </c>
      <c r="J5175" t="s">
        <v>413</v>
      </c>
      <c r="K5175" t="s">
        <v>20</v>
      </c>
      <c r="L5175" t="s">
        <v>772</v>
      </c>
      <c r="M5175" s="3" t="str">
        <f>HYPERLINK("..\..\Imagery\ScannedPhotos\1991\DD91-094.2.jpg")</f>
        <v>..\..\Imagery\ScannedPhotos\1991\DD91-094.2.jpg</v>
      </c>
    </row>
    <row r="5176" spans="1:13" x14ac:dyDescent="0.25">
      <c r="A5176" t="s">
        <v>1302</v>
      </c>
      <c r="B5176">
        <v>482525</v>
      </c>
      <c r="C5176">
        <v>5823775</v>
      </c>
      <c r="D5176">
        <v>21</v>
      </c>
      <c r="E5176" t="s">
        <v>15</v>
      </c>
      <c r="F5176" t="s">
        <v>11999</v>
      </c>
      <c r="G5176">
        <v>3</v>
      </c>
      <c r="H5176" t="s">
        <v>412</v>
      </c>
      <c r="I5176" t="s">
        <v>418</v>
      </c>
      <c r="J5176" t="s">
        <v>413</v>
      </c>
      <c r="K5176" t="s">
        <v>20</v>
      </c>
      <c r="L5176" t="s">
        <v>1304</v>
      </c>
      <c r="M5176" s="3" t="str">
        <f>HYPERLINK("..\..\Imagery\ScannedPhotos\1991\DD91-094.1.jpg")</f>
        <v>..\..\Imagery\ScannedPhotos\1991\DD91-094.1.jpg</v>
      </c>
    </row>
    <row r="5177" spans="1:13" x14ac:dyDescent="0.25">
      <c r="A5177" t="s">
        <v>12000</v>
      </c>
      <c r="B5177">
        <v>482525</v>
      </c>
      <c r="C5177">
        <v>5823425</v>
      </c>
      <c r="D5177">
        <v>21</v>
      </c>
      <c r="E5177" t="s">
        <v>15</v>
      </c>
      <c r="F5177" t="s">
        <v>12001</v>
      </c>
      <c r="G5177">
        <v>2</v>
      </c>
      <c r="H5177" t="s">
        <v>412</v>
      </c>
      <c r="I5177" t="s">
        <v>25</v>
      </c>
      <c r="J5177" t="s">
        <v>413</v>
      </c>
      <c r="K5177" t="s">
        <v>56</v>
      </c>
      <c r="L5177" t="s">
        <v>12002</v>
      </c>
      <c r="M5177" s="3" t="str">
        <f>HYPERLINK("..\..\Imagery\ScannedPhotos\1991\DD91-095.1.jpg")</f>
        <v>..\..\Imagery\ScannedPhotos\1991\DD91-095.1.jpg</v>
      </c>
    </row>
    <row r="5178" spans="1:13" x14ac:dyDescent="0.25">
      <c r="A5178" t="s">
        <v>12000</v>
      </c>
      <c r="B5178">
        <v>482525</v>
      </c>
      <c r="C5178">
        <v>5823425</v>
      </c>
      <c r="D5178">
        <v>21</v>
      </c>
      <c r="E5178" t="s">
        <v>15</v>
      </c>
      <c r="F5178" t="s">
        <v>12003</v>
      </c>
      <c r="G5178">
        <v>2</v>
      </c>
      <c r="H5178" t="s">
        <v>412</v>
      </c>
      <c r="I5178" t="s">
        <v>360</v>
      </c>
      <c r="J5178" t="s">
        <v>413</v>
      </c>
      <c r="K5178" t="s">
        <v>56</v>
      </c>
      <c r="L5178" t="s">
        <v>12004</v>
      </c>
      <c r="M5178" s="3" t="str">
        <f>HYPERLINK("..\..\Imagery\ScannedPhotos\1991\DD91-095.2.jpg")</f>
        <v>..\..\Imagery\ScannedPhotos\1991\DD91-095.2.jpg</v>
      </c>
    </row>
    <row r="5179" spans="1:13" x14ac:dyDescent="0.25">
      <c r="A5179" t="s">
        <v>7832</v>
      </c>
      <c r="B5179">
        <v>482775</v>
      </c>
      <c r="C5179">
        <v>5822250</v>
      </c>
      <c r="D5179">
        <v>21</v>
      </c>
      <c r="E5179" t="s">
        <v>15</v>
      </c>
      <c r="F5179" t="s">
        <v>12005</v>
      </c>
      <c r="G5179">
        <v>2</v>
      </c>
      <c r="H5179" t="s">
        <v>412</v>
      </c>
      <c r="I5179" t="s">
        <v>647</v>
      </c>
      <c r="J5179" t="s">
        <v>413</v>
      </c>
      <c r="K5179" t="s">
        <v>20</v>
      </c>
      <c r="L5179" t="s">
        <v>642</v>
      </c>
      <c r="M5179" s="3" t="str">
        <f>HYPERLINK("..\..\Imagery\ScannedPhotos\1991\DD91-097.1.jpg")</f>
        <v>..\..\Imagery\ScannedPhotos\1991\DD91-097.1.jpg</v>
      </c>
    </row>
    <row r="5180" spans="1:13" x14ac:dyDescent="0.25">
      <c r="A5180" t="s">
        <v>11304</v>
      </c>
      <c r="B5180">
        <v>498575</v>
      </c>
      <c r="C5180">
        <v>5814650</v>
      </c>
      <c r="D5180">
        <v>21</v>
      </c>
      <c r="E5180" t="s">
        <v>15</v>
      </c>
      <c r="F5180" t="s">
        <v>12006</v>
      </c>
      <c r="G5180">
        <v>2</v>
      </c>
      <c r="H5180" t="s">
        <v>1095</v>
      </c>
      <c r="I5180" t="s">
        <v>137</v>
      </c>
      <c r="J5180" t="s">
        <v>1096</v>
      </c>
      <c r="K5180" t="s">
        <v>56</v>
      </c>
      <c r="L5180" t="s">
        <v>12007</v>
      </c>
      <c r="M5180" s="3" t="str">
        <f>HYPERLINK("..\..\Imagery\ScannedPhotos\1992\VN92-003.2.jpg")</f>
        <v>..\..\Imagery\ScannedPhotos\1992\VN92-003.2.jpg</v>
      </c>
    </row>
    <row r="5181" spans="1:13" x14ac:dyDescent="0.25">
      <c r="A5181" t="s">
        <v>12008</v>
      </c>
      <c r="B5181">
        <v>494239</v>
      </c>
      <c r="C5181">
        <v>5815812</v>
      </c>
      <c r="D5181">
        <v>21</v>
      </c>
      <c r="E5181" t="s">
        <v>15</v>
      </c>
      <c r="F5181" t="s">
        <v>12009</v>
      </c>
      <c r="G5181">
        <v>1</v>
      </c>
      <c r="H5181" t="s">
        <v>1095</v>
      </c>
      <c r="I5181" t="s">
        <v>18</v>
      </c>
      <c r="J5181" t="s">
        <v>1096</v>
      </c>
      <c r="K5181" t="s">
        <v>56</v>
      </c>
      <c r="L5181" t="s">
        <v>12010</v>
      </c>
      <c r="M5181" s="3" t="str">
        <f>HYPERLINK("..\..\Imagery\ScannedPhotos\1992\VN92-014.jpg")</f>
        <v>..\..\Imagery\ScannedPhotos\1992\VN92-014.jpg</v>
      </c>
    </row>
    <row r="5182" spans="1:13" x14ac:dyDescent="0.25">
      <c r="A5182" t="s">
        <v>10628</v>
      </c>
      <c r="B5182">
        <v>484247</v>
      </c>
      <c r="C5182">
        <v>5813599</v>
      </c>
      <c r="D5182">
        <v>21</v>
      </c>
      <c r="E5182" t="s">
        <v>15</v>
      </c>
      <c r="F5182" t="s">
        <v>12011</v>
      </c>
      <c r="G5182">
        <v>2</v>
      </c>
      <c r="H5182" t="s">
        <v>1095</v>
      </c>
      <c r="I5182" t="s">
        <v>35</v>
      </c>
      <c r="J5182" t="s">
        <v>1096</v>
      </c>
      <c r="K5182" t="s">
        <v>56</v>
      </c>
      <c r="L5182" t="s">
        <v>10630</v>
      </c>
      <c r="M5182" s="3" t="str">
        <f>HYPERLINK("..\..\Imagery\ScannedPhotos\1992\VN92-037.1.jpg")</f>
        <v>..\..\Imagery\ScannedPhotos\1992\VN92-037.1.jpg</v>
      </c>
    </row>
    <row r="5183" spans="1:13" x14ac:dyDescent="0.25">
      <c r="A5183" t="s">
        <v>2289</v>
      </c>
      <c r="B5183">
        <v>568925</v>
      </c>
      <c r="C5183">
        <v>5822470</v>
      </c>
      <c r="D5183">
        <v>21</v>
      </c>
      <c r="E5183" t="s">
        <v>15</v>
      </c>
      <c r="F5183" t="s">
        <v>12012</v>
      </c>
      <c r="G5183">
        <v>3</v>
      </c>
      <c r="H5183" t="s">
        <v>2291</v>
      </c>
      <c r="I5183" t="s">
        <v>74</v>
      </c>
      <c r="J5183" t="s">
        <v>2292</v>
      </c>
      <c r="K5183" t="s">
        <v>20</v>
      </c>
      <c r="L5183" t="s">
        <v>12013</v>
      </c>
      <c r="M5183" s="3" t="str">
        <f>HYPERLINK("..\..\Imagery\ScannedPhotos\1986\SN86-432.1.jpg")</f>
        <v>..\..\Imagery\ScannedPhotos\1986\SN86-432.1.jpg</v>
      </c>
    </row>
    <row r="5184" spans="1:13" x14ac:dyDescent="0.25">
      <c r="A5184" t="s">
        <v>2289</v>
      </c>
      <c r="B5184">
        <v>568925</v>
      </c>
      <c r="C5184">
        <v>5822470</v>
      </c>
      <c r="D5184">
        <v>21</v>
      </c>
      <c r="E5184" t="s">
        <v>15</v>
      </c>
      <c r="F5184" t="s">
        <v>12014</v>
      </c>
      <c r="G5184">
        <v>3</v>
      </c>
      <c r="H5184" t="s">
        <v>2291</v>
      </c>
      <c r="I5184" t="s">
        <v>41</v>
      </c>
      <c r="J5184" t="s">
        <v>2292</v>
      </c>
      <c r="K5184" t="s">
        <v>20</v>
      </c>
      <c r="L5184" t="s">
        <v>2295</v>
      </c>
      <c r="M5184" s="3" t="str">
        <f>HYPERLINK("..\..\Imagery\ScannedPhotos\1986\SN86-432.2.jpg")</f>
        <v>..\..\Imagery\ScannedPhotos\1986\SN86-432.2.jpg</v>
      </c>
    </row>
    <row r="5185" spans="1:13" x14ac:dyDescent="0.25">
      <c r="A5185" t="s">
        <v>9098</v>
      </c>
      <c r="B5185">
        <v>582396</v>
      </c>
      <c r="C5185">
        <v>5820953</v>
      </c>
      <c r="D5185">
        <v>21</v>
      </c>
      <c r="E5185" t="s">
        <v>15</v>
      </c>
      <c r="F5185" t="s">
        <v>12015</v>
      </c>
      <c r="G5185">
        <v>2</v>
      </c>
      <c r="H5185" t="s">
        <v>3201</v>
      </c>
      <c r="I5185" t="s">
        <v>137</v>
      </c>
      <c r="J5185" t="s">
        <v>3202</v>
      </c>
      <c r="K5185" t="s">
        <v>20</v>
      </c>
      <c r="L5185" t="s">
        <v>10947</v>
      </c>
      <c r="M5185" s="3" t="str">
        <f>HYPERLINK("..\..\Imagery\ScannedPhotos\1986\SN86-405.1.jpg")</f>
        <v>..\..\Imagery\ScannedPhotos\1986\SN86-405.1.jpg</v>
      </c>
    </row>
    <row r="5186" spans="1:13" x14ac:dyDescent="0.25">
      <c r="A5186" t="s">
        <v>12016</v>
      </c>
      <c r="B5186">
        <v>494656</v>
      </c>
      <c r="C5186">
        <v>5947887</v>
      </c>
      <c r="D5186">
        <v>21</v>
      </c>
      <c r="E5186" t="s">
        <v>15</v>
      </c>
      <c r="F5186" t="s">
        <v>12017</v>
      </c>
      <c r="G5186">
        <v>1</v>
      </c>
      <c r="H5186" t="s">
        <v>443</v>
      </c>
      <c r="I5186" t="s">
        <v>375</v>
      </c>
      <c r="J5186" t="s">
        <v>48</v>
      </c>
      <c r="K5186" t="s">
        <v>20</v>
      </c>
      <c r="L5186" t="s">
        <v>12018</v>
      </c>
      <c r="M5186" s="3" t="str">
        <f>HYPERLINK("..\..\Imagery\ScannedPhotos\1981\CG81-040.jpg")</f>
        <v>..\..\Imagery\ScannedPhotos\1981\CG81-040.jpg</v>
      </c>
    </row>
    <row r="5187" spans="1:13" x14ac:dyDescent="0.25">
      <c r="A5187" t="s">
        <v>12019</v>
      </c>
      <c r="B5187">
        <v>494623</v>
      </c>
      <c r="C5187">
        <v>5946607</v>
      </c>
      <c r="D5187">
        <v>21</v>
      </c>
      <c r="E5187" t="s">
        <v>15</v>
      </c>
      <c r="F5187" t="s">
        <v>12020</v>
      </c>
      <c r="G5187">
        <v>1</v>
      </c>
      <c r="H5187" t="s">
        <v>443</v>
      </c>
      <c r="I5187" t="s">
        <v>94</v>
      </c>
      <c r="J5187" t="s">
        <v>48</v>
      </c>
      <c r="K5187" t="s">
        <v>20</v>
      </c>
      <c r="L5187" t="s">
        <v>12021</v>
      </c>
      <c r="M5187" s="3" t="str">
        <f>HYPERLINK("..\..\Imagery\ScannedPhotos\1981\CG81-042.jpg")</f>
        <v>..\..\Imagery\ScannedPhotos\1981\CG81-042.jpg</v>
      </c>
    </row>
    <row r="5188" spans="1:13" x14ac:dyDescent="0.25">
      <c r="A5188" t="s">
        <v>10366</v>
      </c>
      <c r="B5188">
        <v>571500</v>
      </c>
      <c r="C5188">
        <v>5886389</v>
      </c>
      <c r="D5188">
        <v>21</v>
      </c>
      <c r="E5188" t="s">
        <v>15</v>
      </c>
      <c r="F5188" t="s">
        <v>12022</v>
      </c>
      <c r="G5188">
        <v>5</v>
      </c>
      <c r="H5188" t="s">
        <v>2412</v>
      </c>
      <c r="I5188" t="s">
        <v>360</v>
      </c>
      <c r="J5188" t="s">
        <v>1463</v>
      </c>
      <c r="K5188" t="s">
        <v>20</v>
      </c>
      <c r="L5188" t="s">
        <v>10368</v>
      </c>
      <c r="M5188" s="3" t="str">
        <f>HYPERLINK("..\..\Imagery\ScannedPhotos\1985\GM85-506.3.jpg")</f>
        <v>..\..\Imagery\ScannedPhotos\1985\GM85-506.3.jpg</v>
      </c>
    </row>
    <row r="5189" spans="1:13" x14ac:dyDescent="0.25">
      <c r="A5189" t="s">
        <v>8594</v>
      </c>
      <c r="B5189">
        <v>332160</v>
      </c>
      <c r="C5189">
        <v>5771420</v>
      </c>
      <c r="D5189">
        <v>21</v>
      </c>
      <c r="E5189" t="s">
        <v>15</v>
      </c>
      <c r="F5189" t="s">
        <v>12023</v>
      </c>
      <c r="G5189">
        <v>11</v>
      </c>
      <c r="H5189" t="s">
        <v>78</v>
      </c>
      <c r="I5189" t="s">
        <v>85</v>
      </c>
      <c r="J5189" t="s">
        <v>80</v>
      </c>
      <c r="K5189" t="s">
        <v>20</v>
      </c>
      <c r="L5189" t="s">
        <v>12024</v>
      </c>
      <c r="M5189" s="3" t="str">
        <f>HYPERLINK("..\..\Imagery\ScannedPhotos\2000\CG00-154.7.jpg")</f>
        <v>..\..\Imagery\ScannedPhotos\2000\CG00-154.7.jpg</v>
      </c>
    </row>
    <row r="5190" spans="1:13" x14ac:dyDescent="0.25">
      <c r="A5190" t="s">
        <v>8594</v>
      </c>
      <c r="B5190">
        <v>332160</v>
      </c>
      <c r="C5190">
        <v>5771420</v>
      </c>
      <c r="D5190">
        <v>21</v>
      </c>
      <c r="E5190" t="s">
        <v>15</v>
      </c>
      <c r="F5190" t="s">
        <v>12025</v>
      </c>
      <c r="G5190">
        <v>11</v>
      </c>
      <c r="H5190" t="s">
        <v>78</v>
      </c>
      <c r="I5190" t="s">
        <v>375</v>
      </c>
      <c r="J5190" t="s">
        <v>80</v>
      </c>
      <c r="K5190" t="s">
        <v>20</v>
      </c>
      <c r="L5190" t="s">
        <v>12026</v>
      </c>
      <c r="M5190" s="3" t="str">
        <f>HYPERLINK("..\..\Imagery\ScannedPhotos\2000\CG00-154.8.jpg")</f>
        <v>..\..\Imagery\ScannedPhotos\2000\CG00-154.8.jpg</v>
      </c>
    </row>
    <row r="5191" spans="1:13" x14ac:dyDescent="0.25">
      <c r="A5191" t="s">
        <v>8594</v>
      </c>
      <c r="B5191">
        <v>332160</v>
      </c>
      <c r="C5191">
        <v>5771420</v>
      </c>
      <c r="D5191">
        <v>21</v>
      </c>
      <c r="E5191" t="s">
        <v>15</v>
      </c>
      <c r="F5191" t="s">
        <v>12027</v>
      </c>
      <c r="G5191">
        <v>11</v>
      </c>
      <c r="H5191" t="s">
        <v>78</v>
      </c>
      <c r="I5191" t="s">
        <v>94</v>
      </c>
      <c r="J5191" t="s">
        <v>80</v>
      </c>
      <c r="K5191" t="s">
        <v>535</v>
      </c>
      <c r="L5191" t="s">
        <v>12028</v>
      </c>
      <c r="M5191" s="3" t="str">
        <f>HYPERLINK("..\..\Imagery\ScannedPhotos\2000\CG00-154.9.jpg")</f>
        <v>..\..\Imagery\ScannedPhotos\2000\CG00-154.9.jpg</v>
      </c>
    </row>
    <row r="5192" spans="1:13" x14ac:dyDescent="0.25">
      <c r="A5192" t="s">
        <v>12029</v>
      </c>
      <c r="B5192">
        <v>348183</v>
      </c>
      <c r="C5192">
        <v>5784278</v>
      </c>
      <c r="D5192">
        <v>21</v>
      </c>
      <c r="E5192" t="s">
        <v>15</v>
      </c>
      <c r="F5192" t="s">
        <v>12030</v>
      </c>
      <c r="G5192">
        <v>1</v>
      </c>
      <c r="H5192" t="s">
        <v>2236</v>
      </c>
      <c r="I5192" t="s">
        <v>85</v>
      </c>
      <c r="J5192" t="s">
        <v>80</v>
      </c>
      <c r="K5192" t="s">
        <v>20</v>
      </c>
      <c r="L5192" t="s">
        <v>12031</v>
      </c>
      <c r="M5192" s="3" t="str">
        <f>HYPERLINK("..\..\Imagery\ScannedPhotos\2000\CG00-234.jpg")</f>
        <v>..\..\Imagery\ScannedPhotos\2000\CG00-234.jpg</v>
      </c>
    </row>
    <row r="5193" spans="1:13" x14ac:dyDescent="0.25">
      <c r="A5193" t="s">
        <v>12032</v>
      </c>
      <c r="B5193">
        <v>346957</v>
      </c>
      <c r="C5193">
        <v>5787837</v>
      </c>
      <c r="D5193">
        <v>21</v>
      </c>
      <c r="E5193" t="s">
        <v>15</v>
      </c>
      <c r="F5193" t="s">
        <v>12033</v>
      </c>
      <c r="G5193">
        <v>1</v>
      </c>
      <c r="H5193" t="s">
        <v>2236</v>
      </c>
      <c r="I5193" t="s">
        <v>375</v>
      </c>
      <c r="J5193" t="s">
        <v>80</v>
      </c>
      <c r="K5193" t="s">
        <v>56</v>
      </c>
      <c r="L5193" t="s">
        <v>12034</v>
      </c>
      <c r="M5193" s="3" t="str">
        <f>HYPERLINK("..\..\Imagery\ScannedPhotos\2000\CG00-236.jpg")</f>
        <v>..\..\Imagery\ScannedPhotos\2000\CG00-236.jpg</v>
      </c>
    </row>
    <row r="5194" spans="1:13" x14ac:dyDescent="0.25">
      <c r="A5194" t="s">
        <v>12035</v>
      </c>
      <c r="B5194">
        <v>331358</v>
      </c>
      <c r="C5194">
        <v>5802944</v>
      </c>
      <c r="D5194">
        <v>21</v>
      </c>
      <c r="E5194" t="s">
        <v>15</v>
      </c>
      <c r="F5194" t="s">
        <v>12036</v>
      </c>
      <c r="G5194">
        <v>1</v>
      </c>
      <c r="H5194" t="s">
        <v>2236</v>
      </c>
      <c r="I5194" t="s">
        <v>94</v>
      </c>
      <c r="J5194" t="s">
        <v>80</v>
      </c>
      <c r="K5194" t="s">
        <v>20</v>
      </c>
      <c r="L5194" t="s">
        <v>12037</v>
      </c>
      <c r="M5194" s="3" t="str">
        <f>HYPERLINK("..\..\Imagery\ScannedPhotos\2000\CG00-241.jpg")</f>
        <v>..\..\Imagery\ScannedPhotos\2000\CG00-241.jpg</v>
      </c>
    </row>
    <row r="5195" spans="1:13" x14ac:dyDescent="0.25">
      <c r="A5195" t="s">
        <v>12038</v>
      </c>
      <c r="B5195">
        <v>329792</v>
      </c>
      <c r="C5195">
        <v>5802791</v>
      </c>
      <c r="D5195">
        <v>21</v>
      </c>
      <c r="E5195" t="s">
        <v>15</v>
      </c>
      <c r="F5195" t="s">
        <v>12039</v>
      </c>
      <c r="G5195">
        <v>1</v>
      </c>
      <c r="H5195" t="s">
        <v>2236</v>
      </c>
      <c r="I5195" t="s">
        <v>209</v>
      </c>
      <c r="J5195" t="s">
        <v>80</v>
      </c>
      <c r="K5195" t="s">
        <v>20</v>
      </c>
      <c r="L5195" t="s">
        <v>6779</v>
      </c>
      <c r="M5195" s="3" t="str">
        <f>HYPERLINK("..\..\Imagery\ScannedPhotos\2000\CG00-243.jpg")</f>
        <v>..\..\Imagery\ScannedPhotos\2000\CG00-243.jpg</v>
      </c>
    </row>
    <row r="5196" spans="1:13" x14ac:dyDescent="0.25">
      <c r="A5196" t="s">
        <v>12040</v>
      </c>
      <c r="B5196">
        <v>540711</v>
      </c>
      <c r="C5196">
        <v>5857680</v>
      </c>
      <c r="D5196">
        <v>21</v>
      </c>
      <c r="E5196" t="s">
        <v>15</v>
      </c>
      <c r="F5196" t="s">
        <v>12041</v>
      </c>
      <c r="G5196">
        <v>1</v>
      </c>
      <c r="H5196" t="s">
        <v>1212</v>
      </c>
      <c r="I5196" t="s">
        <v>114</v>
      </c>
      <c r="J5196" t="s">
        <v>100</v>
      </c>
      <c r="K5196" t="s">
        <v>20</v>
      </c>
      <c r="L5196" t="s">
        <v>12042</v>
      </c>
      <c r="M5196" s="3" t="str">
        <f>HYPERLINK("..\..\Imagery\ScannedPhotos\1986\JS86-089.jpg")</f>
        <v>..\..\Imagery\ScannedPhotos\1986\JS86-089.jpg</v>
      </c>
    </row>
    <row r="5197" spans="1:13" x14ac:dyDescent="0.25">
      <c r="A5197" t="s">
        <v>12043</v>
      </c>
      <c r="B5197">
        <v>556659</v>
      </c>
      <c r="C5197">
        <v>5865862</v>
      </c>
      <c r="D5197">
        <v>21</v>
      </c>
      <c r="E5197" t="s">
        <v>15</v>
      </c>
      <c r="F5197" t="s">
        <v>12044</v>
      </c>
      <c r="G5197">
        <v>1</v>
      </c>
      <c r="H5197" t="s">
        <v>1212</v>
      </c>
      <c r="I5197" t="s">
        <v>119</v>
      </c>
      <c r="J5197" t="s">
        <v>100</v>
      </c>
      <c r="K5197" t="s">
        <v>56</v>
      </c>
      <c r="L5197" t="s">
        <v>12045</v>
      </c>
      <c r="M5197" s="3" t="str">
        <f>HYPERLINK("..\..\Imagery\ScannedPhotos\1986\JS86-104.jpg")</f>
        <v>..\..\Imagery\ScannedPhotos\1986\JS86-104.jpg</v>
      </c>
    </row>
    <row r="5198" spans="1:13" x14ac:dyDescent="0.25">
      <c r="A5198" t="s">
        <v>10631</v>
      </c>
      <c r="B5198">
        <v>450420</v>
      </c>
      <c r="C5198">
        <v>5897747</v>
      </c>
      <c r="D5198">
        <v>21</v>
      </c>
      <c r="E5198" t="s">
        <v>15</v>
      </c>
      <c r="F5198" t="s">
        <v>12046</v>
      </c>
      <c r="G5198">
        <v>4</v>
      </c>
      <c r="H5198" t="s">
        <v>6176</v>
      </c>
      <c r="I5198" t="s">
        <v>52</v>
      </c>
      <c r="J5198" t="s">
        <v>2247</v>
      </c>
      <c r="K5198" t="s">
        <v>20</v>
      </c>
      <c r="L5198" t="s">
        <v>10633</v>
      </c>
      <c r="M5198" s="3" t="str">
        <f>HYPERLINK("..\..\Imagery\ScannedPhotos\1984\NN84-293.3.jpg")</f>
        <v>..\..\Imagery\ScannedPhotos\1984\NN84-293.3.jpg</v>
      </c>
    </row>
    <row r="5199" spans="1:13" x14ac:dyDescent="0.25">
      <c r="A5199" t="s">
        <v>12047</v>
      </c>
      <c r="B5199">
        <v>548798</v>
      </c>
      <c r="C5199">
        <v>5739717</v>
      </c>
      <c r="D5199">
        <v>21</v>
      </c>
      <c r="E5199" t="s">
        <v>15</v>
      </c>
      <c r="F5199" t="s">
        <v>12048</v>
      </c>
      <c r="G5199">
        <v>2</v>
      </c>
      <c r="H5199" t="s">
        <v>1784</v>
      </c>
      <c r="I5199" t="s">
        <v>222</v>
      </c>
      <c r="J5199" t="s">
        <v>1738</v>
      </c>
      <c r="K5199" t="s">
        <v>56</v>
      </c>
      <c r="L5199" t="s">
        <v>12049</v>
      </c>
      <c r="M5199" s="3" t="str">
        <f>HYPERLINK("..\..\Imagery\ScannedPhotos\1993\VN93-235.2.jpg")</f>
        <v>..\..\Imagery\ScannedPhotos\1993\VN93-235.2.jpg</v>
      </c>
    </row>
    <row r="5200" spans="1:13" x14ac:dyDescent="0.25">
      <c r="A5200" t="s">
        <v>12047</v>
      </c>
      <c r="B5200">
        <v>548798</v>
      </c>
      <c r="C5200">
        <v>5739717</v>
      </c>
      <c r="D5200">
        <v>21</v>
      </c>
      <c r="E5200" t="s">
        <v>15</v>
      </c>
      <c r="F5200" t="s">
        <v>12050</v>
      </c>
      <c r="G5200">
        <v>2</v>
      </c>
      <c r="H5200" t="s">
        <v>1784</v>
      </c>
      <c r="I5200" t="s">
        <v>214</v>
      </c>
      <c r="J5200" t="s">
        <v>1738</v>
      </c>
      <c r="K5200" t="s">
        <v>56</v>
      </c>
      <c r="L5200" t="s">
        <v>12051</v>
      </c>
      <c r="M5200" s="3" t="str">
        <f>HYPERLINK("..\..\Imagery\ScannedPhotos\1993\VN93-235.1.jpg")</f>
        <v>..\..\Imagery\ScannedPhotos\1993\VN93-235.1.jpg</v>
      </c>
    </row>
    <row r="5201" spans="1:13" x14ac:dyDescent="0.25">
      <c r="A5201" t="s">
        <v>12052</v>
      </c>
      <c r="B5201">
        <v>444683</v>
      </c>
      <c r="C5201">
        <v>5767041</v>
      </c>
      <c r="D5201">
        <v>21</v>
      </c>
      <c r="E5201" t="s">
        <v>15</v>
      </c>
      <c r="F5201" t="s">
        <v>12053</v>
      </c>
      <c r="G5201">
        <v>1</v>
      </c>
      <c r="H5201" t="s">
        <v>1107</v>
      </c>
      <c r="I5201" t="s">
        <v>122</v>
      </c>
      <c r="J5201" t="s">
        <v>747</v>
      </c>
      <c r="K5201" t="s">
        <v>56</v>
      </c>
      <c r="L5201" t="s">
        <v>12054</v>
      </c>
      <c r="M5201" s="3" t="str">
        <f>HYPERLINK("..\..\Imagery\ScannedPhotos\1992\CG92-154.jpg")</f>
        <v>..\..\Imagery\ScannedPhotos\1992\CG92-154.jpg</v>
      </c>
    </row>
    <row r="5202" spans="1:13" x14ac:dyDescent="0.25">
      <c r="A5202" t="s">
        <v>12055</v>
      </c>
      <c r="B5202">
        <v>443937</v>
      </c>
      <c r="C5202">
        <v>5766506</v>
      </c>
      <c r="D5202">
        <v>21</v>
      </c>
      <c r="E5202" t="s">
        <v>15</v>
      </c>
      <c r="F5202" t="s">
        <v>12056</v>
      </c>
      <c r="G5202">
        <v>1</v>
      </c>
      <c r="H5202" t="s">
        <v>1107</v>
      </c>
      <c r="I5202" t="s">
        <v>126</v>
      </c>
      <c r="J5202" t="s">
        <v>747</v>
      </c>
      <c r="K5202" t="s">
        <v>20</v>
      </c>
      <c r="L5202" t="s">
        <v>12057</v>
      </c>
      <c r="M5202" s="3" t="str">
        <f>HYPERLINK("..\..\Imagery\ScannedPhotos\1992\CG92-155.jpg")</f>
        <v>..\..\Imagery\ScannedPhotos\1992\CG92-155.jpg</v>
      </c>
    </row>
    <row r="5203" spans="1:13" x14ac:dyDescent="0.25">
      <c r="A5203" t="s">
        <v>10348</v>
      </c>
      <c r="B5203">
        <v>443054</v>
      </c>
      <c r="C5203">
        <v>5764951</v>
      </c>
      <c r="D5203">
        <v>21</v>
      </c>
      <c r="E5203" t="s">
        <v>15</v>
      </c>
      <c r="F5203" t="s">
        <v>12058</v>
      </c>
      <c r="G5203">
        <v>2</v>
      </c>
      <c r="H5203" t="s">
        <v>1107</v>
      </c>
      <c r="I5203" t="s">
        <v>132</v>
      </c>
      <c r="J5203" t="s">
        <v>747</v>
      </c>
      <c r="K5203" t="s">
        <v>20</v>
      </c>
      <c r="L5203" t="s">
        <v>10350</v>
      </c>
      <c r="M5203" s="3" t="str">
        <f>HYPERLINK("..\..\Imagery\ScannedPhotos\1992\CG92-160.2.jpg")</f>
        <v>..\..\Imagery\ScannedPhotos\1992\CG92-160.2.jpg</v>
      </c>
    </row>
    <row r="5204" spans="1:13" x14ac:dyDescent="0.25">
      <c r="A5204" t="s">
        <v>12059</v>
      </c>
      <c r="B5204">
        <v>449612</v>
      </c>
      <c r="C5204">
        <v>5887674</v>
      </c>
      <c r="D5204">
        <v>21</v>
      </c>
      <c r="E5204" t="s">
        <v>15</v>
      </c>
      <c r="F5204" t="s">
        <v>12060</v>
      </c>
      <c r="G5204">
        <v>2</v>
      </c>
      <c r="H5204" t="s">
        <v>60</v>
      </c>
      <c r="I5204" t="s">
        <v>304</v>
      </c>
      <c r="J5204" t="s">
        <v>61</v>
      </c>
      <c r="K5204" t="s">
        <v>20</v>
      </c>
      <c r="L5204" t="s">
        <v>12061</v>
      </c>
      <c r="M5204" s="3" t="str">
        <f>HYPERLINK("..\..\Imagery\ScannedPhotos\1984\CG84-204.2.jpg")</f>
        <v>..\..\Imagery\ScannedPhotos\1984\CG84-204.2.jpg</v>
      </c>
    </row>
    <row r="5205" spans="1:13" x14ac:dyDescent="0.25">
      <c r="A5205" t="s">
        <v>12059</v>
      </c>
      <c r="B5205">
        <v>449612</v>
      </c>
      <c r="C5205">
        <v>5887674</v>
      </c>
      <c r="D5205">
        <v>21</v>
      </c>
      <c r="E5205" t="s">
        <v>15</v>
      </c>
      <c r="F5205" t="s">
        <v>12062</v>
      </c>
      <c r="G5205">
        <v>2</v>
      </c>
      <c r="H5205" t="s">
        <v>60</v>
      </c>
      <c r="I5205" t="s">
        <v>418</v>
      </c>
      <c r="J5205" t="s">
        <v>61</v>
      </c>
      <c r="K5205" t="s">
        <v>20</v>
      </c>
      <c r="L5205" t="s">
        <v>12061</v>
      </c>
      <c r="M5205" s="3" t="str">
        <f>HYPERLINK("..\..\Imagery\ScannedPhotos\1984\CG84-204.1.jpg")</f>
        <v>..\..\Imagery\ScannedPhotos\1984\CG84-204.1.jpg</v>
      </c>
    </row>
    <row r="5206" spans="1:13" x14ac:dyDescent="0.25">
      <c r="A5206" t="s">
        <v>12063</v>
      </c>
      <c r="B5206">
        <v>450782</v>
      </c>
      <c r="C5206">
        <v>5887829</v>
      </c>
      <c r="D5206">
        <v>21</v>
      </c>
      <c r="E5206" t="s">
        <v>15</v>
      </c>
      <c r="F5206" t="s">
        <v>12064</v>
      </c>
      <c r="G5206">
        <v>1</v>
      </c>
      <c r="H5206" t="s">
        <v>60</v>
      </c>
      <c r="I5206" t="s">
        <v>195</v>
      </c>
      <c r="J5206" t="s">
        <v>61</v>
      </c>
      <c r="K5206" t="s">
        <v>20</v>
      </c>
      <c r="L5206" t="s">
        <v>12065</v>
      </c>
      <c r="M5206" s="3" t="str">
        <f>HYPERLINK("..\..\Imagery\ScannedPhotos\1984\CG84-208.jpg")</f>
        <v>..\..\Imagery\ScannedPhotos\1984\CG84-208.jpg</v>
      </c>
    </row>
    <row r="5207" spans="1:13" x14ac:dyDescent="0.25">
      <c r="A5207" t="s">
        <v>12066</v>
      </c>
      <c r="B5207">
        <v>451951</v>
      </c>
      <c r="C5207">
        <v>5889508</v>
      </c>
      <c r="D5207">
        <v>21</v>
      </c>
      <c r="E5207" t="s">
        <v>15</v>
      </c>
      <c r="F5207" t="s">
        <v>12067</v>
      </c>
      <c r="G5207">
        <v>1</v>
      </c>
      <c r="H5207" t="s">
        <v>60</v>
      </c>
      <c r="I5207" t="s">
        <v>360</v>
      </c>
      <c r="J5207" t="s">
        <v>61</v>
      </c>
      <c r="K5207" t="s">
        <v>20</v>
      </c>
      <c r="L5207" t="s">
        <v>12068</v>
      </c>
      <c r="M5207" s="3" t="str">
        <f>HYPERLINK("..\..\Imagery\ScannedPhotos\1984\CG84-216.jpg")</f>
        <v>..\..\Imagery\ScannedPhotos\1984\CG84-216.jpg</v>
      </c>
    </row>
    <row r="5208" spans="1:13" x14ac:dyDescent="0.25">
      <c r="A5208" t="s">
        <v>12069</v>
      </c>
      <c r="B5208">
        <v>452009</v>
      </c>
      <c r="C5208">
        <v>5889660</v>
      </c>
      <c r="D5208">
        <v>21</v>
      </c>
      <c r="E5208" t="s">
        <v>15</v>
      </c>
      <c r="F5208" t="s">
        <v>12070</v>
      </c>
      <c r="G5208">
        <v>1</v>
      </c>
      <c r="H5208" t="s">
        <v>60</v>
      </c>
      <c r="I5208" t="s">
        <v>647</v>
      </c>
      <c r="J5208" t="s">
        <v>61</v>
      </c>
      <c r="K5208" t="s">
        <v>20</v>
      </c>
      <c r="L5208" t="s">
        <v>12071</v>
      </c>
      <c r="M5208" s="3" t="str">
        <f>HYPERLINK("..\..\Imagery\ScannedPhotos\1984\CG84-217.jpg")</f>
        <v>..\..\Imagery\ScannedPhotos\1984\CG84-217.jpg</v>
      </c>
    </row>
    <row r="5209" spans="1:13" x14ac:dyDescent="0.25">
      <c r="A5209" t="s">
        <v>5671</v>
      </c>
      <c r="B5209">
        <v>448311</v>
      </c>
      <c r="C5209">
        <v>5881109</v>
      </c>
      <c r="D5209">
        <v>21</v>
      </c>
      <c r="E5209" t="s">
        <v>15</v>
      </c>
      <c r="F5209" t="s">
        <v>12072</v>
      </c>
      <c r="G5209">
        <v>3</v>
      </c>
      <c r="H5209" t="s">
        <v>60</v>
      </c>
      <c r="I5209" t="s">
        <v>114</v>
      </c>
      <c r="J5209" t="s">
        <v>61</v>
      </c>
      <c r="K5209" t="s">
        <v>20</v>
      </c>
      <c r="L5209" t="s">
        <v>1020</v>
      </c>
      <c r="M5209" s="3" t="str">
        <f>HYPERLINK("..\..\Imagery\ScannedPhotos\1984\CG84-241.2.jpg")</f>
        <v>..\..\Imagery\ScannedPhotos\1984\CG84-241.2.jpg</v>
      </c>
    </row>
    <row r="5210" spans="1:13" x14ac:dyDescent="0.25">
      <c r="A5210" t="s">
        <v>5671</v>
      </c>
      <c r="B5210">
        <v>448311</v>
      </c>
      <c r="C5210">
        <v>5881109</v>
      </c>
      <c r="D5210">
        <v>21</v>
      </c>
      <c r="E5210" t="s">
        <v>15</v>
      </c>
      <c r="F5210" t="s">
        <v>12073</v>
      </c>
      <c r="G5210">
        <v>3</v>
      </c>
      <c r="H5210" t="s">
        <v>60</v>
      </c>
      <c r="I5210" t="s">
        <v>30</v>
      </c>
      <c r="J5210" t="s">
        <v>61</v>
      </c>
      <c r="K5210" t="s">
        <v>20</v>
      </c>
      <c r="L5210" t="s">
        <v>1020</v>
      </c>
      <c r="M5210" s="3" t="str">
        <f>HYPERLINK("..\..\Imagery\ScannedPhotos\1984\CG84-241.1.jpg")</f>
        <v>..\..\Imagery\ScannedPhotos\1984\CG84-241.1.jpg</v>
      </c>
    </row>
    <row r="5211" spans="1:13" x14ac:dyDescent="0.25">
      <c r="A5211" t="s">
        <v>10580</v>
      </c>
      <c r="B5211">
        <v>580273</v>
      </c>
      <c r="C5211">
        <v>5900047</v>
      </c>
      <c r="D5211">
        <v>21</v>
      </c>
      <c r="E5211" t="s">
        <v>15</v>
      </c>
      <c r="F5211" t="s">
        <v>12074</v>
      </c>
      <c r="G5211">
        <v>7</v>
      </c>
      <c r="H5211" t="s">
        <v>17</v>
      </c>
      <c r="I5211" t="s">
        <v>375</v>
      </c>
      <c r="J5211" t="s">
        <v>19</v>
      </c>
      <c r="K5211" t="s">
        <v>20</v>
      </c>
      <c r="L5211" t="s">
        <v>10582</v>
      </c>
      <c r="M5211" s="3" t="str">
        <f>HYPERLINK("..\..\Imagery\ScannedPhotos\1985\CG85-654.6.jpg")</f>
        <v>..\..\Imagery\ScannedPhotos\1985\CG85-654.6.jpg</v>
      </c>
    </row>
    <row r="5212" spans="1:13" x14ac:dyDescent="0.25">
      <c r="A5212" t="s">
        <v>10580</v>
      </c>
      <c r="B5212">
        <v>580273</v>
      </c>
      <c r="C5212">
        <v>5900047</v>
      </c>
      <c r="D5212">
        <v>21</v>
      </c>
      <c r="E5212" t="s">
        <v>15</v>
      </c>
      <c r="F5212" t="s">
        <v>12075</v>
      </c>
      <c r="G5212">
        <v>7</v>
      </c>
      <c r="H5212" t="s">
        <v>1378</v>
      </c>
      <c r="I5212" t="s">
        <v>132</v>
      </c>
      <c r="J5212" t="s">
        <v>628</v>
      </c>
      <c r="K5212" t="s">
        <v>20</v>
      </c>
      <c r="L5212" t="s">
        <v>10584</v>
      </c>
      <c r="M5212" s="3" t="str">
        <f>HYPERLINK("..\..\Imagery\ScannedPhotos\1985\CG85-654.4.jpg")</f>
        <v>..\..\Imagery\ScannedPhotos\1985\CG85-654.4.jpg</v>
      </c>
    </row>
    <row r="5213" spans="1:13" x14ac:dyDescent="0.25">
      <c r="A5213" t="s">
        <v>10580</v>
      </c>
      <c r="B5213">
        <v>580273</v>
      </c>
      <c r="C5213">
        <v>5900047</v>
      </c>
      <c r="D5213">
        <v>21</v>
      </c>
      <c r="E5213" t="s">
        <v>15</v>
      </c>
      <c r="F5213" t="s">
        <v>12076</v>
      </c>
      <c r="G5213">
        <v>7</v>
      </c>
      <c r="H5213" t="s">
        <v>2733</v>
      </c>
      <c r="I5213" t="s">
        <v>25</v>
      </c>
      <c r="J5213" t="s">
        <v>814</v>
      </c>
      <c r="K5213" t="s">
        <v>20</v>
      </c>
      <c r="L5213" t="s">
        <v>12077</v>
      </c>
      <c r="M5213" s="3" t="str">
        <f>HYPERLINK("..\..\Imagery\ScannedPhotos\1985\CG85-654.7.jpg")</f>
        <v>..\..\Imagery\ScannedPhotos\1985\CG85-654.7.jpg</v>
      </c>
    </row>
    <row r="5214" spans="1:13" x14ac:dyDescent="0.25">
      <c r="A5214" t="s">
        <v>10580</v>
      </c>
      <c r="B5214">
        <v>580273</v>
      </c>
      <c r="C5214">
        <v>5900047</v>
      </c>
      <c r="D5214">
        <v>21</v>
      </c>
      <c r="E5214" t="s">
        <v>15</v>
      </c>
      <c r="F5214" t="s">
        <v>12078</v>
      </c>
      <c r="G5214">
        <v>7</v>
      </c>
      <c r="H5214" t="s">
        <v>1378</v>
      </c>
      <c r="I5214" t="s">
        <v>108</v>
      </c>
      <c r="J5214" t="s">
        <v>628</v>
      </c>
      <c r="K5214" t="s">
        <v>20</v>
      </c>
      <c r="L5214" t="s">
        <v>10584</v>
      </c>
      <c r="M5214" s="3" t="str">
        <f>HYPERLINK("..\..\Imagery\ScannedPhotos\1985\CG85-654.3.jpg")</f>
        <v>..\..\Imagery\ScannedPhotos\1985\CG85-654.3.jpg</v>
      </c>
    </row>
    <row r="5215" spans="1:13" x14ac:dyDescent="0.25">
      <c r="A5215" t="s">
        <v>12079</v>
      </c>
      <c r="B5215">
        <v>548636</v>
      </c>
      <c r="C5215">
        <v>5820787</v>
      </c>
      <c r="D5215">
        <v>21</v>
      </c>
      <c r="E5215" t="s">
        <v>15</v>
      </c>
      <c r="F5215" t="s">
        <v>12080</v>
      </c>
      <c r="G5215">
        <v>2</v>
      </c>
      <c r="H5215" t="s">
        <v>24</v>
      </c>
      <c r="I5215" t="s">
        <v>41</v>
      </c>
      <c r="J5215" t="s">
        <v>26</v>
      </c>
      <c r="K5215" t="s">
        <v>535</v>
      </c>
      <c r="L5215" t="s">
        <v>12081</v>
      </c>
      <c r="M5215" s="3" t="str">
        <f>HYPERLINK("..\..\Imagery\ScannedPhotos\1986\CG86-001.1.jpg")</f>
        <v>..\..\Imagery\ScannedPhotos\1986\CG86-001.1.jpg</v>
      </c>
    </row>
    <row r="5216" spans="1:13" x14ac:dyDescent="0.25">
      <c r="A5216" t="s">
        <v>12079</v>
      </c>
      <c r="B5216">
        <v>548636</v>
      </c>
      <c r="C5216">
        <v>5820787</v>
      </c>
      <c r="D5216">
        <v>21</v>
      </c>
      <c r="E5216" t="s">
        <v>15</v>
      </c>
      <c r="F5216" t="s">
        <v>12082</v>
      </c>
      <c r="G5216">
        <v>2</v>
      </c>
      <c r="H5216" t="s">
        <v>24</v>
      </c>
      <c r="I5216" t="s">
        <v>85</v>
      </c>
      <c r="J5216" t="s">
        <v>26</v>
      </c>
      <c r="K5216" t="s">
        <v>20</v>
      </c>
      <c r="L5216" t="s">
        <v>12083</v>
      </c>
      <c r="M5216" s="3" t="str">
        <f>HYPERLINK("..\..\Imagery\ScannedPhotos\1986\CG86-001.2.jpg")</f>
        <v>..\..\Imagery\ScannedPhotos\1986\CG86-001.2.jpg</v>
      </c>
    </row>
    <row r="5217" spans="1:14" x14ac:dyDescent="0.25">
      <c r="A5217" t="s">
        <v>12084</v>
      </c>
      <c r="B5217">
        <v>548377</v>
      </c>
      <c r="C5217">
        <v>5820861</v>
      </c>
      <c r="D5217">
        <v>21</v>
      </c>
      <c r="E5217" t="s">
        <v>15</v>
      </c>
      <c r="F5217" t="s">
        <v>12085</v>
      </c>
      <c r="G5217">
        <v>1</v>
      </c>
      <c r="H5217" t="s">
        <v>24</v>
      </c>
      <c r="I5217" t="s">
        <v>375</v>
      </c>
      <c r="J5217" t="s">
        <v>26</v>
      </c>
      <c r="K5217" t="s">
        <v>20</v>
      </c>
      <c r="L5217" t="s">
        <v>12086</v>
      </c>
      <c r="M5217" s="3" t="str">
        <f>HYPERLINK("..\..\Imagery\ScannedPhotos\1986\CG86-002.jpg")</f>
        <v>..\..\Imagery\ScannedPhotos\1986\CG86-002.jpg</v>
      </c>
    </row>
    <row r="5218" spans="1:14" x14ac:dyDescent="0.25">
      <c r="A5218" t="s">
        <v>12087</v>
      </c>
      <c r="B5218">
        <v>547948</v>
      </c>
      <c r="C5218">
        <v>5819855</v>
      </c>
      <c r="D5218">
        <v>21</v>
      </c>
      <c r="E5218" t="s">
        <v>15</v>
      </c>
      <c r="F5218" t="s">
        <v>12088</v>
      </c>
      <c r="G5218">
        <v>1</v>
      </c>
      <c r="H5218" t="s">
        <v>24</v>
      </c>
      <c r="I5218" t="s">
        <v>209</v>
      </c>
      <c r="J5218" t="s">
        <v>26</v>
      </c>
      <c r="K5218" t="s">
        <v>20</v>
      </c>
      <c r="L5218" t="s">
        <v>12089</v>
      </c>
      <c r="M5218" s="3" t="str">
        <f>HYPERLINK("..\..\Imagery\ScannedPhotos\1986\CG86-008.jpg")</f>
        <v>..\..\Imagery\ScannedPhotos\1986\CG86-008.jpg</v>
      </c>
    </row>
    <row r="5219" spans="1:14" x14ac:dyDescent="0.25">
      <c r="A5219" t="s">
        <v>12090</v>
      </c>
      <c r="B5219">
        <v>565790</v>
      </c>
      <c r="C5219">
        <v>5748350</v>
      </c>
      <c r="D5219">
        <v>21</v>
      </c>
      <c r="E5219" t="s">
        <v>15</v>
      </c>
      <c r="F5219" t="s">
        <v>12091</v>
      </c>
      <c r="G5219">
        <v>1</v>
      </c>
      <c r="H5219" t="s">
        <v>6322</v>
      </c>
      <c r="I5219" t="s">
        <v>126</v>
      </c>
      <c r="J5219" t="s">
        <v>996</v>
      </c>
      <c r="K5219" t="s">
        <v>20</v>
      </c>
      <c r="L5219" t="s">
        <v>12092</v>
      </c>
      <c r="M5219" s="3" t="str">
        <f>HYPERLINK("..\..\Imagery\ScannedPhotos\1993\VN93-413.jpg")</f>
        <v>..\..\Imagery\ScannedPhotos\1993\VN93-413.jpg</v>
      </c>
    </row>
    <row r="5220" spans="1:14" x14ac:dyDescent="0.25">
      <c r="A5220" t="s">
        <v>12093</v>
      </c>
      <c r="B5220">
        <v>586878</v>
      </c>
      <c r="C5220">
        <v>5770955</v>
      </c>
      <c r="D5220">
        <v>21</v>
      </c>
      <c r="E5220" t="s">
        <v>15</v>
      </c>
      <c r="F5220" t="s">
        <v>12094</v>
      </c>
      <c r="G5220">
        <v>1</v>
      </c>
      <c r="H5220" t="s">
        <v>1066</v>
      </c>
      <c r="I5220" t="s">
        <v>360</v>
      </c>
      <c r="J5220" t="s">
        <v>36</v>
      </c>
      <c r="K5220" t="s">
        <v>20</v>
      </c>
      <c r="L5220" t="s">
        <v>12095</v>
      </c>
      <c r="M5220" s="3" t="str">
        <f>HYPERLINK("..\..\Imagery\ScannedPhotos\1987\CG87-438cropped.jpg")</f>
        <v>..\..\Imagery\ScannedPhotos\1987\CG87-438cropped.jpg</v>
      </c>
      <c r="N5220" t="s">
        <v>4297</v>
      </c>
    </row>
    <row r="5221" spans="1:14" x14ac:dyDescent="0.25">
      <c r="A5221" t="s">
        <v>10168</v>
      </c>
      <c r="B5221">
        <v>588274</v>
      </c>
      <c r="C5221">
        <v>5771479</v>
      </c>
      <c r="D5221">
        <v>21</v>
      </c>
      <c r="E5221" t="s">
        <v>15</v>
      </c>
      <c r="F5221" t="s">
        <v>12096</v>
      </c>
      <c r="G5221">
        <v>5</v>
      </c>
      <c r="H5221" t="s">
        <v>1066</v>
      </c>
      <c r="I5221" t="s">
        <v>647</v>
      </c>
      <c r="J5221" t="s">
        <v>36</v>
      </c>
      <c r="K5221" t="s">
        <v>20</v>
      </c>
      <c r="L5221" t="s">
        <v>10170</v>
      </c>
      <c r="M5221" s="3" t="str">
        <f>HYPERLINK("..\..\Imagery\ScannedPhotos\1987\CG87-441.1cropped.jpg")</f>
        <v>..\..\Imagery\ScannedPhotos\1987\CG87-441.1cropped.jpg</v>
      </c>
      <c r="N5221" t="s">
        <v>4297</v>
      </c>
    </row>
    <row r="5222" spans="1:14" x14ac:dyDescent="0.25">
      <c r="A5222" t="s">
        <v>10168</v>
      </c>
      <c r="B5222">
        <v>588274</v>
      </c>
      <c r="C5222">
        <v>5771479</v>
      </c>
      <c r="D5222">
        <v>21</v>
      </c>
      <c r="E5222" t="s">
        <v>15</v>
      </c>
      <c r="F5222" t="s">
        <v>12097</v>
      </c>
      <c r="G5222">
        <v>1</v>
      </c>
      <c r="H5222" t="s">
        <v>1066</v>
      </c>
      <c r="I5222" t="s">
        <v>126</v>
      </c>
      <c r="J5222" t="s">
        <v>36</v>
      </c>
      <c r="K5222" t="s">
        <v>228</v>
      </c>
      <c r="L5222" t="s">
        <v>12098</v>
      </c>
      <c r="M5222" s="3" t="str">
        <f>HYPERLINK("..\..\Imagery\ScannedPhotos\1987\CG87-442E.jpg")</f>
        <v>..\..\Imagery\ScannedPhotos\1987\CG87-442E.jpg</v>
      </c>
      <c r="N5222" t="s">
        <v>1808</v>
      </c>
    </row>
    <row r="5223" spans="1:14" x14ac:dyDescent="0.25">
      <c r="A5223" t="s">
        <v>2482</v>
      </c>
      <c r="B5223">
        <v>593253</v>
      </c>
      <c r="C5223">
        <v>5785005</v>
      </c>
      <c r="D5223">
        <v>21</v>
      </c>
      <c r="E5223" t="s">
        <v>15</v>
      </c>
      <c r="F5223" t="s">
        <v>12099</v>
      </c>
      <c r="G5223">
        <v>6</v>
      </c>
      <c r="H5223" t="s">
        <v>17</v>
      </c>
      <c r="I5223" t="s">
        <v>30</v>
      </c>
      <c r="J5223" t="s">
        <v>19</v>
      </c>
      <c r="K5223" t="s">
        <v>20</v>
      </c>
      <c r="L5223" t="s">
        <v>8048</v>
      </c>
      <c r="M5223" s="3" t="str">
        <f>HYPERLINK("..\..\Imagery\ScannedPhotos\1987\CG87-445.2cropped.jpg")</f>
        <v>..\..\Imagery\ScannedPhotos\1987\CG87-445.2cropped.jpg</v>
      </c>
      <c r="N5223" t="s">
        <v>4297</v>
      </c>
    </row>
    <row r="5224" spans="1:14" x14ac:dyDescent="0.25">
      <c r="A5224" t="s">
        <v>12100</v>
      </c>
      <c r="B5224">
        <v>593942</v>
      </c>
      <c r="C5224">
        <v>5785615</v>
      </c>
      <c r="D5224">
        <v>21</v>
      </c>
      <c r="E5224" t="s">
        <v>15</v>
      </c>
      <c r="F5224" t="s">
        <v>12101</v>
      </c>
      <c r="G5224">
        <v>1</v>
      </c>
      <c r="H5224" t="s">
        <v>17</v>
      </c>
      <c r="I5224" t="s">
        <v>132</v>
      </c>
      <c r="J5224" t="s">
        <v>19</v>
      </c>
      <c r="K5224" t="s">
        <v>20</v>
      </c>
      <c r="L5224" t="s">
        <v>12102</v>
      </c>
      <c r="M5224" s="3" t="str">
        <f>HYPERLINK("..\..\Imagery\ScannedPhotos\1987\CG87-448E.jpg")</f>
        <v>..\..\Imagery\ScannedPhotos\1987\CG87-448E.jpg</v>
      </c>
      <c r="N5224" t="s">
        <v>1808</v>
      </c>
    </row>
    <row r="5225" spans="1:14" x14ac:dyDescent="0.25">
      <c r="A5225" t="s">
        <v>12103</v>
      </c>
      <c r="B5225">
        <v>593357</v>
      </c>
      <c r="C5225">
        <v>5786199</v>
      </c>
      <c r="D5225">
        <v>21</v>
      </c>
      <c r="E5225" t="s">
        <v>15</v>
      </c>
      <c r="F5225" t="s">
        <v>12104</v>
      </c>
      <c r="G5225">
        <v>4</v>
      </c>
      <c r="H5225" t="s">
        <v>2984</v>
      </c>
      <c r="I5225" t="s">
        <v>294</v>
      </c>
      <c r="J5225" t="s">
        <v>19</v>
      </c>
      <c r="K5225" t="s">
        <v>535</v>
      </c>
      <c r="L5225" t="s">
        <v>12105</v>
      </c>
      <c r="M5225" s="3" t="str">
        <f>HYPERLINK("..\..\Imagery\ScannedPhotos\1987\CG87-450.1E.jpg")</f>
        <v>..\..\Imagery\ScannedPhotos\1987\CG87-450.1E.jpg</v>
      </c>
      <c r="N5225" t="s">
        <v>1808</v>
      </c>
    </row>
    <row r="5226" spans="1:14" x14ac:dyDescent="0.25">
      <c r="A5226" t="s">
        <v>12103</v>
      </c>
      <c r="B5226">
        <v>593357</v>
      </c>
      <c r="C5226">
        <v>5786199</v>
      </c>
      <c r="D5226">
        <v>21</v>
      </c>
      <c r="E5226" t="s">
        <v>15</v>
      </c>
      <c r="F5226" t="s">
        <v>12106</v>
      </c>
      <c r="G5226">
        <v>4</v>
      </c>
      <c r="H5226" t="s">
        <v>2984</v>
      </c>
      <c r="I5226" t="s">
        <v>79</v>
      </c>
      <c r="J5226" t="s">
        <v>19</v>
      </c>
      <c r="K5226" t="s">
        <v>535</v>
      </c>
      <c r="L5226" t="s">
        <v>12105</v>
      </c>
      <c r="M5226" s="3" t="str">
        <f>HYPERLINK("..\..\Imagery\ScannedPhotos\1987\CG87-450.2E.jpg")</f>
        <v>..\..\Imagery\ScannedPhotos\1987\CG87-450.2E.jpg</v>
      </c>
      <c r="N5226" t="s">
        <v>1808</v>
      </c>
    </row>
    <row r="5227" spans="1:14" x14ac:dyDescent="0.25">
      <c r="A5227" t="s">
        <v>12103</v>
      </c>
      <c r="B5227">
        <v>593357</v>
      </c>
      <c r="C5227">
        <v>5786199</v>
      </c>
      <c r="D5227">
        <v>21</v>
      </c>
      <c r="E5227" t="s">
        <v>15</v>
      </c>
      <c r="F5227" t="s">
        <v>12107</v>
      </c>
      <c r="G5227">
        <v>4</v>
      </c>
      <c r="H5227" t="s">
        <v>2984</v>
      </c>
      <c r="I5227" t="s">
        <v>79</v>
      </c>
      <c r="J5227" t="s">
        <v>19</v>
      </c>
      <c r="K5227" t="s">
        <v>535</v>
      </c>
      <c r="L5227" t="s">
        <v>12105</v>
      </c>
      <c r="M5227" s="3" t="str">
        <f>HYPERLINK("..\..\Imagery\ScannedPhotos\1987\CG87-450.3E.jpg")</f>
        <v>..\..\Imagery\ScannedPhotos\1987\CG87-450.3E.jpg</v>
      </c>
      <c r="N5227" t="s">
        <v>1808</v>
      </c>
    </row>
    <row r="5228" spans="1:14" x14ac:dyDescent="0.25">
      <c r="A5228" t="s">
        <v>12103</v>
      </c>
      <c r="B5228">
        <v>593357</v>
      </c>
      <c r="C5228">
        <v>5786199</v>
      </c>
      <c r="D5228">
        <v>21</v>
      </c>
      <c r="E5228" t="s">
        <v>15</v>
      </c>
      <c r="F5228" t="s">
        <v>12108</v>
      </c>
      <c r="G5228">
        <v>4</v>
      </c>
      <c r="H5228" t="s">
        <v>2984</v>
      </c>
      <c r="I5228" t="s">
        <v>281</v>
      </c>
      <c r="J5228" t="s">
        <v>19</v>
      </c>
      <c r="K5228" t="s">
        <v>20</v>
      </c>
      <c r="L5228" t="s">
        <v>12109</v>
      </c>
      <c r="M5228" s="3" t="str">
        <f>HYPERLINK("..\..\Imagery\ScannedPhotos\1987\CG87-450.4E.jpg")</f>
        <v>..\..\Imagery\ScannedPhotos\1987\CG87-450.4E.jpg</v>
      </c>
      <c r="N5228" t="s">
        <v>1808</v>
      </c>
    </row>
    <row r="5229" spans="1:14" x14ac:dyDescent="0.25">
      <c r="A5229" t="s">
        <v>2988</v>
      </c>
      <c r="B5229">
        <v>583666</v>
      </c>
      <c r="C5229">
        <v>5789085</v>
      </c>
      <c r="D5229">
        <v>21</v>
      </c>
      <c r="E5229" t="s">
        <v>15</v>
      </c>
      <c r="F5229" t="s">
        <v>12110</v>
      </c>
      <c r="G5229">
        <v>3</v>
      </c>
      <c r="H5229" t="s">
        <v>1107</v>
      </c>
      <c r="I5229" t="s">
        <v>214</v>
      </c>
      <c r="J5229" t="s">
        <v>747</v>
      </c>
      <c r="K5229" t="s">
        <v>20</v>
      </c>
      <c r="L5229" t="s">
        <v>2990</v>
      </c>
      <c r="M5229" s="3" t="str">
        <f>HYPERLINK("..\..\Imagery\ScannedPhotos\1987\CG87-461.2cropped.jpg")</f>
        <v>..\..\Imagery\ScannedPhotos\1987\CG87-461.2cropped.jpg</v>
      </c>
      <c r="N5229" t="s">
        <v>4297</v>
      </c>
    </row>
    <row r="5230" spans="1:14" x14ac:dyDescent="0.25">
      <c r="A5230" t="s">
        <v>6488</v>
      </c>
      <c r="B5230">
        <v>585145</v>
      </c>
      <c r="C5230">
        <v>5791116</v>
      </c>
      <c r="D5230">
        <v>21</v>
      </c>
      <c r="E5230" t="s">
        <v>15</v>
      </c>
      <c r="F5230" t="s">
        <v>12111</v>
      </c>
      <c r="G5230">
        <v>11</v>
      </c>
      <c r="H5230" t="s">
        <v>813</v>
      </c>
      <c r="I5230" t="s">
        <v>35</v>
      </c>
      <c r="J5230" t="s">
        <v>814</v>
      </c>
      <c r="K5230" t="s">
        <v>535</v>
      </c>
      <c r="L5230" t="s">
        <v>12112</v>
      </c>
      <c r="M5230" s="3" t="str">
        <f>HYPERLINK("..\..\Imagery\ScannedPhotos\1987\CG87-469.6E.jpg")</f>
        <v>..\..\Imagery\ScannedPhotos\1987\CG87-469.6E.jpg</v>
      </c>
      <c r="N5230" t="s">
        <v>1808</v>
      </c>
    </row>
    <row r="5231" spans="1:14" x14ac:dyDescent="0.25">
      <c r="A5231" t="s">
        <v>6488</v>
      </c>
      <c r="B5231">
        <v>585145</v>
      </c>
      <c r="C5231">
        <v>5791116</v>
      </c>
      <c r="D5231">
        <v>21</v>
      </c>
      <c r="E5231" t="s">
        <v>15</v>
      </c>
      <c r="F5231" t="s">
        <v>12113</v>
      </c>
      <c r="G5231">
        <v>11</v>
      </c>
      <c r="H5231" t="s">
        <v>813</v>
      </c>
      <c r="I5231" t="s">
        <v>69</v>
      </c>
      <c r="J5231" t="s">
        <v>814</v>
      </c>
      <c r="K5231" t="s">
        <v>535</v>
      </c>
      <c r="L5231" t="s">
        <v>12114</v>
      </c>
      <c r="M5231" s="3" t="str">
        <f>HYPERLINK("..\..\Imagery\ScannedPhotos\1987\CG87-469.7E.jpg")</f>
        <v>..\..\Imagery\ScannedPhotos\1987\CG87-469.7E.jpg</v>
      </c>
      <c r="N5231" t="s">
        <v>1808</v>
      </c>
    </row>
    <row r="5232" spans="1:14" x14ac:dyDescent="0.25">
      <c r="A5232" t="s">
        <v>11534</v>
      </c>
      <c r="B5232">
        <v>497825</v>
      </c>
      <c r="C5232">
        <v>5784960</v>
      </c>
      <c r="D5232">
        <v>21</v>
      </c>
      <c r="E5232" t="s">
        <v>15</v>
      </c>
      <c r="F5232" t="s">
        <v>12115</v>
      </c>
      <c r="G5232">
        <v>2</v>
      </c>
      <c r="H5232" t="s">
        <v>4076</v>
      </c>
      <c r="I5232" t="s">
        <v>217</v>
      </c>
      <c r="J5232" t="s">
        <v>905</v>
      </c>
      <c r="K5232" t="s">
        <v>56</v>
      </c>
      <c r="L5232" t="s">
        <v>11536</v>
      </c>
      <c r="M5232" s="3" t="str">
        <f>HYPERLINK("..\..\Imagery\ScannedPhotos\1992\VN92-181.2cropped.jpg")</f>
        <v>..\..\Imagery\ScannedPhotos\1992\VN92-181.2cropped.jpg</v>
      </c>
      <c r="N5232" t="s">
        <v>4297</v>
      </c>
    </row>
    <row r="5233" spans="1:14" x14ac:dyDescent="0.25">
      <c r="A5233" t="s">
        <v>4074</v>
      </c>
      <c r="B5233">
        <v>445850</v>
      </c>
      <c r="C5233">
        <v>5771550</v>
      </c>
      <c r="D5233">
        <v>21</v>
      </c>
      <c r="E5233" t="s">
        <v>15</v>
      </c>
      <c r="F5233" t="s">
        <v>12116</v>
      </c>
      <c r="G5233">
        <v>15</v>
      </c>
      <c r="H5233" t="s">
        <v>4076</v>
      </c>
      <c r="I5233" t="s">
        <v>129</v>
      </c>
      <c r="J5233" t="s">
        <v>905</v>
      </c>
      <c r="K5233" t="s">
        <v>20</v>
      </c>
      <c r="L5233" t="s">
        <v>9932</v>
      </c>
      <c r="M5233" s="3" t="str">
        <f>HYPERLINK("..\..\Imagery\ScannedPhotos\1992\VN92-197.8cropped.jpg")</f>
        <v>..\..\Imagery\ScannedPhotos\1992\VN92-197.8cropped.jpg</v>
      </c>
      <c r="N5233" t="s">
        <v>4297</v>
      </c>
    </row>
    <row r="5234" spans="1:14" x14ac:dyDescent="0.25">
      <c r="A5234" t="s">
        <v>9544</v>
      </c>
      <c r="B5234">
        <v>436232</v>
      </c>
      <c r="C5234">
        <v>5770307</v>
      </c>
      <c r="D5234">
        <v>21</v>
      </c>
      <c r="E5234" t="s">
        <v>15</v>
      </c>
      <c r="F5234" t="s">
        <v>12117</v>
      </c>
      <c r="G5234">
        <v>2</v>
      </c>
      <c r="H5234" t="s">
        <v>904</v>
      </c>
      <c r="I5234" t="s">
        <v>35</v>
      </c>
      <c r="J5234" t="s">
        <v>905</v>
      </c>
      <c r="K5234" t="s">
        <v>56</v>
      </c>
      <c r="L5234" t="s">
        <v>9546</v>
      </c>
      <c r="M5234" s="3" t="str">
        <f>HYPERLINK("..\..\Imagery\ScannedPhotos\1992\VN92-207.2cropped.jpg")</f>
        <v>..\..\Imagery\ScannedPhotos\1992\VN92-207.2cropped.jpg</v>
      </c>
      <c r="N5234" t="s">
        <v>4297</v>
      </c>
    </row>
    <row r="5235" spans="1:14" x14ac:dyDescent="0.25">
      <c r="A5235" t="s">
        <v>11229</v>
      </c>
      <c r="B5235">
        <v>526375</v>
      </c>
      <c r="C5235">
        <v>5720687</v>
      </c>
      <c r="D5235">
        <v>21</v>
      </c>
      <c r="E5235" t="s">
        <v>15</v>
      </c>
      <c r="F5235" t="s">
        <v>12118</v>
      </c>
      <c r="G5235">
        <v>6</v>
      </c>
      <c r="H5235" t="s">
        <v>2418</v>
      </c>
      <c r="I5235" t="s">
        <v>386</v>
      </c>
      <c r="J5235" t="s">
        <v>570</v>
      </c>
      <c r="K5235" t="s">
        <v>56</v>
      </c>
      <c r="L5235" t="s">
        <v>11231</v>
      </c>
      <c r="M5235" s="3" t="str">
        <f>HYPERLINK("..\..\Imagery\ScannedPhotos\1993\VN93-104.6.jpg")</f>
        <v>..\..\Imagery\ScannedPhotos\1993\VN93-104.6.jpg</v>
      </c>
    </row>
    <row r="5236" spans="1:14" x14ac:dyDescent="0.25">
      <c r="A5236" t="s">
        <v>11229</v>
      </c>
      <c r="B5236">
        <v>526375</v>
      </c>
      <c r="C5236">
        <v>5720687</v>
      </c>
      <c r="D5236">
        <v>21</v>
      </c>
      <c r="E5236" t="s">
        <v>15</v>
      </c>
      <c r="F5236" t="s">
        <v>12119</v>
      </c>
      <c r="G5236">
        <v>6</v>
      </c>
      <c r="H5236" t="s">
        <v>2418</v>
      </c>
      <c r="I5236" t="s">
        <v>41</v>
      </c>
      <c r="J5236" t="s">
        <v>570</v>
      </c>
      <c r="K5236" t="s">
        <v>20</v>
      </c>
      <c r="L5236" t="s">
        <v>12120</v>
      </c>
      <c r="M5236" s="3" t="str">
        <f>HYPERLINK("..\..\Imagery\ScannedPhotos\1993\VN93-104.1.jpg")</f>
        <v>..\..\Imagery\ScannedPhotos\1993\VN93-104.1.jpg</v>
      </c>
    </row>
    <row r="5237" spans="1:14" x14ac:dyDescent="0.25">
      <c r="A5237" t="s">
        <v>12121</v>
      </c>
      <c r="B5237">
        <v>460966</v>
      </c>
      <c r="C5237">
        <v>6055150</v>
      </c>
      <c r="D5237">
        <v>21</v>
      </c>
      <c r="E5237" t="s">
        <v>15</v>
      </c>
      <c r="F5237" t="s">
        <v>12122</v>
      </c>
      <c r="G5237">
        <v>5</v>
      </c>
      <c r="H5237" t="s">
        <v>696</v>
      </c>
      <c r="I5237" t="s">
        <v>418</v>
      </c>
      <c r="J5237" t="s">
        <v>355</v>
      </c>
      <c r="K5237" t="s">
        <v>20</v>
      </c>
      <c r="L5237" t="s">
        <v>12123</v>
      </c>
      <c r="M5237" s="3" t="str">
        <f>HYPERLINK("..\..\Imagery\ScannedPhotos\1979\CG79-263.3.jpg")</f>
        <v>..\..\Imagery\ScannedPhotos\1979\CG79-263.3.jpg</v>
      </c>
    </row>
    <row r="5238" spans="1:14" x14ac:dyDescent="0.25">
      <c r="A5238" t="s">
        <v>12121</v>
      </c>
      <c r="B5238">
        <v>460966</v>
      </c>
      <c r="C5238">
        <v>6055150</v>
      </c>
      <c r="D5238">
        <v>21</v>
      </c>
      <c r="E5238" t="s">
        <v>15</v>
      </c>
      <c r="F5238" t="s">
        <v>12124</v>
      </c>
      <c r="G5238">
        <v>5</v>
      </c>
      <c r="H5238" t="s">
        <v>696</v>
      </c>
      <c r="I5238" t="s">
        <v>304</v>
      </c>
      <c r="J5238" t="s">
        <v>355</v>
      </c>
      <c r="K5238" t="s">
        <v>20</v>
      </c>
      <c r="L5238" t="s">
        <v>6906</v>
      </c>
      <c r="M5238" s="3" t="str">
        <f>HYPERLINK("..\..\Imagery\ScannedPhotos\1979\CG79-263.4.jpg")</f>
        <v>..\..\Imagery\ScannedPhotos\1979\CG79-263.4.jpg</v>
      </c>
    </row>
    <row r="5239" spans="1:14" x14ac:dyDescent="0.25">
      <c r="A5239" t="s">
        <v>12121</v>
      </c>
      <c r="B5239">
        <v>460966</v>
      </c>
      <c r="C5239">
        <v>6055150</v>
      </c>
      <c r="D5239">
        <v>21</v>
      </c>
      <c r="E5239" t="s">
        <v>15</v>
      </c>
      <c r="F5239" t="s">
        <v>12125</v>
      </c>
      <c r="G5239">
        <v>5</v>
      </c>
      <c r="H5239" t="s">
        <v>696</v>
      </c>
      <c r="I5239" t="s">
        <v>195</v>
      </c>
      <c r="J5239" t="s">
        <v>355</v>
      </c>
      <c r="K5239" t="s">
        <v>20</v>
      </c>
      <c r="L5239" t="s">
        <v>12126</v>
      </c>
      <c r="M5239" s="3" t="str">
        <f>HYPERLINK("..\..\Imagery\ScannedPhotos\1979\CG79-263.5.jpg")</f>
        <v>..\..\Imagery\ScannedPhotos\1979\CG79-263.5.jpg</v>
      </c>
    </row>
    <row r="5240" spans="1:14" x14ac:dyDescent="0.25">
      <c r="A5240" t="s">
        <v>12121</v>
      </c>
      <c r="B5240">
        <v>460966</v>
      </c>
      <c r="C5240">
        <v>6055150</v>
      </c>
      <c r="D5240">
        <v>21</v>
      </c>
      <c r="E5240" t="s">
        <v>15</v>
      </c>
      <c r="F5240" t="s">
        <v>12127</v>
      </c>
      <c r="G5240">
        <v>5</v>
      </c>
      <c r="H5240" t="s">
        <v>696</v>
      </c>
      <c r="I5240" t="s">
        <v>222</v>
      </c>
      <c r="J5240" t="s">
        <v>355</v>
      </c>
      <c r="K5240" t="s">
        <v>20</v>
      </c>
      <c r="L5240" t="s">
        <v>12128</v>
      </c>
      <c r="M5240" s="3" t="str">
        <f>HYPERLINK("..\..\Imagery\ScannedPhotos\1979\CG79-263.2.jpg")</f>
        <v>..\..\Imagery\ScannedPhotos\1979\CG79-263.2.jpg</v>
      </c>
    </row>
    <row r="5241" spans="1:14" x14ac:dyDescent="0.25">
      <c r="A5241" t="s">
        <v>11033</v>
      </c>
      <c r="B5241">
        <v>463316</v>
      </c>
      <c r="C5241">
        <v>6056606</v>
      </c>
      <c r="D5241">
        <v>21</v>
      </c>
      <c r="E5241" t="s">
        <v>15</v>
      </c>
      <c r="F5241" t="s">
        <v>12129</v>
      </c>
      <c r="G5241">
        <v>3</v>
      </c>
      <c r="H5241" t="s">
        <v>696</v>
      </c>
      <c r="I5241" t="s">
        <v>30</v>
      </c>
      <c r="J5241" t="s">
        <v>355</v>
      </c>
      <c r="K5241" t="s">
        <v>20</v>
      </c>
      <c r="L5241" t="s">
        <v>12130</v>
      </c>
      <c r="M5241" s="3" t="str">
        <f>HYPERLINK("..\..\Imagery\ScannedPhotos\1979\CG79-266.3.jpg")</f>
        <v>..\..\Imagery\ScannedPhotos\1979\CG79-266.3.jpg</v>
      </c>
    </row>
    <row r="5242" spans="1:14" x14ac:dyDescent="0.25">
      <c r="A5242" t="s">
        <v>6360</v>
      </c>
      <c r="B5242">
        <v>451009</v>
      </c>
      <c r="C5242">
        <v>5773044</v>
      </c>
      <c r="D5242">
        <v>21</v>
      </c>
      <c r="E5242" t="s">
        <v>15</v>
      </c>
      <c r="F5242" t="s">
        <v>12131</v>
      </c>
      <c r="G5242">
        <v>9</v>
      </c>
      <c r="H5242" t="s">
        <v>4076</v>
      </c>
      <c r="I5242" t="s">
        <v>35</v>
      </c>
      <c r="J5242" t="s">
        <v>905</v>
      </c>
      <c r="K5242" t="s">
        <v>56</v>
      </c>
      <c r="L5242" t="s">
        <v>11503</v>
      </c>
      <c r="M5242" s="3" t="str">
        <f>HYPERLINK("..\..\Imagery\ScannedPhotos\1992\VN92-161.1.jpg")</f>
        <v>..\..\Imagery\ScannedPhotos\1992\VN92-161.1.jpg</v>
      </c>
    </row>
    <row r="5243" spans="1:14" x14ac:dyDescent="0.25">
      <c r="A5243" t="s">
        <v>6360</v>
      </c>
      <c r="B5243">
        <v>451009</v>
      </c>
      <c r="C5243">
        <v>5773044</v>
      </c>
      <c r="D5243">
        <v>21</v>
      </c>
      <c r="E5243" t="s">
        <v>15</v>
      </c>
      <c r="F5243" t="s">
        <v>12132</v>
      </c>
      <c r="G5243">
        <v>9</v>
      </c>
      <c r="H5243" t="s">
        <v>4076</v>
      </c>
      <c r="I5243" t="s">
        <v>94</v>
      </c>
      <c r="J5243" t="s">
        <v>905</v>
      </c>
      <c r="K5243" t="s">
        <v>20</v>
      </c>
      <c r="L5243" t="s">
        <v>6364</v>
      </c>
      <c r="M5243" s="3" t="str">
        <f>HYPERLINK("..\..\Imagery\ScannedPhotos\1992\VN92-161.7.jpg")</f>
        <v>..\..\Imagery\ScannedPhotos\1992\VN92-161.7.jpg</v>
      </c>
    </row>
    <row r="5244" spans="1:14" x14ac:dyDescent="0.25">
      <c r="A5244" t="s">
        <v>6360</v>
      </c>
      <c r="B5244">
        <v>451009</v>
      </c>
      <c r="C5244">
        <v>5773044</v>
      </c>
      <c r="D5244">
        <v>21</v>
      </c>
      <c r="E5244" t="s">
        <v>15</v>
      </c>
      <c r="F5244" t="s">
        <v>12133</v>
      </c>
      <c r="G5244">
        <v>9</v>
      </c>
      <c r="H5244" t="s">
        <v>4076</v>
      </c>
      <c r="I5244" t="s">
        <v>69</v>
      </c>
      <c r="J5244" t="s">
        <v>905</v>
      </c>
      <c r="K5244" t="s">
        <v>56</v>
      </c>
      <c r="L5244" t="s">
        <v>11503</v>
      </c>
      <c r="M5244" s="3" t="str">
        <f>HYPERLINK("..\..\Imagery\ScannedPhotos\1992\VN92-161.2.jpg")</f>
        <v>..\..\Imagery\ScannedPhotos\1992\VN92-161.2.jpg</v>
      </c>
    </row>
    <row r="5245" spans="1:14" x14ac:dyDescent="0.25">
      <c r="A5245" t="s">
        <v>11935</v>
      </c>
      <c r="B5245">
        <v>577612</v>
      </c>
      <c r="C5245">
        <v>5862927</v>
      </c>
      <c r="D5245">
        <v>21</v>
      </c>
      <c r="E5245" t="s">
        <v>15</v>
      </c>
      <c r="F5245" t="s">
        <v>12134</v>
      </c>
      <c r="G5245">
        <v>2</v>
      </c>
      <c r="H5245" t="s">
        <v>874</v>
      </c>
      <c r="I5245" t="s">
        <v>281</v>
      </c>
      <c r="J5245" t="s">
        <v>300</v>
      </c>
      <c r="K5245" t="s">
        <v>56</v>
      </c>
      <c r="L5245" t="s">
        <v>11937</v>
      </c>
      <c r="M5245" s="3" t="str">
        <f>HYPERLINK("..\..\Imagery\ScannedPhotos\1986\SN86-308.2.jpg")</f>
        <v>..\..\Imagery\ScannedPhotos\1986\SN86-308.2.jpg</v>
      </c>
    </row>
    <row r="5246" spans="1:14" x14ac:dyDescent="0.25">
      <c r="A5246" t="s">
        <v>10518</v>
      </c>
      <c r="B5246">
        <v>577977</v>
      </c>
      <c r="C5246">
        <v>5862673</v>
      </c>
      <c r="D5246">
        <v>21</v>
      </c>
      <c r="E5246" t="s">
        <v>15</v>
      </c>
      <c r="F5246" t="s">
        <v>12135</v>
      </c>
      <c r="G5246">
        <v>2</v>
      </c>
      <c r="H5246" t="s">
        <v>874</v>
      </c>
      <c r="I5246" t="s">
        <v>137</v>
      </c>
      <c r="J5246" t="s">
        <v>300</v>
      </c>
      <c r="K5246" t="s">
        <v>56</v>
      </c>
      <c r="L5246" t="s">
        <v>10520</v>
      </c>
      <c r="M5246" s="3" t="str">
        <f>HYPERLINK("..\..\Imagery\ScannedPhotos\1986\SN86-309.1.jpg")</f>
        <v>..\..\Imagery\ScannedPhotos\1986\SN86-309.1.jpg</v>
      </c>
    </row>
    <row r="5247" spans="1:14" x14ac:dyDescent="0.25">
      <c r="A5247" t="s">
        <v>12136</v>
      </c>
      <c r="B5247">
        <v>396643</v>
      </c>
      <c r="C5247">
        <v>5991304</v>
      </c>
      <c r="D5247">
        <v>21</v>
      </c>
      <c r="E5247" t="s">
        <v>15</v>
      </c>
      <c r="F5247" t="s">
        <v>12137</v>
      </c>
      <c r="G5247">
        <v>1</v>
      </c>
      <c r="H5247" t="s">
        <v>781</v>
      </c>
      <c r="I5247" t="s">
        <v>375</v>
      </c>
      <c r="J5247" t="s">
        <v>782</v>
      </c>
      <c r="K5247" t="s">
        <v>20</v>
      </c>
      <c r="L5247" t="s">
        <v>11919</v>
      </c>
      <c r="M5247" s="3" t="str">
        <f>HYPERLINK("..\..\Imagery\ScannedPhotos\1980\NN80-081.jpg")</f>
        <v>..\..\Imagery\ScannedPhotos\1980\NN80-081.jpg</v>
      </c>
    </row>
    <row r="5248" spans="1:14" x14ac:dyDescent="0.25">
      <c r="A5248" t="s">
        <v>12138</v>
      </c>
      <c r="B5248">
        <v>395874</v>
      </c>
      <c r="C5248">
        <v>5990471</v>
      </c>
      <c r="D5248">
        <v>21</v>
      </c>
      <c r="E5248" t="s">
        <v>15</v>
      </c>
      <c r="F5248" t="s">
        <v>12139</v>
      </c>
      <c r="G5248">
        <v>1</v>
      </c>
      <c r="H5248" t="s">
        <v>781</v>
      </c>
      <c r="I5248" t="s">
        <v>94</v>
      </c>
      <c r="J5248" t="s">
        <v>782</v>
      </c>
      <c r="K5248" t="s">
        <v>20</v>
      </c>
      <c r="L5248" t="s">
        <v>12140</v>
      </c>
      <c r="M5248" s="3" t="str">
        <f>HYPERLINK("..\..\Imagery\ScannedPhotos\1980\NN80-085.jpg")</f>
        <v>..\..\Imagery\ScannedPhotos\1980\NN80-085.jpg</v>
      </c>
    </row>
    <row r="5249" spans="1:13" x14ac:dyDescent="0.25">
      <c r="A5249" t="s">
        <v>7548</v>
      </c>
      <c r="B5249">
        <v>395903</v>
      </c>
      <c r="C5249">
        <v>6005638</v>
      </c>
      <c r="D5249">
        <v>21</v>
      </c>
      <c r="E5249" t="s">
        <v>15</v>
      </c>
      <c r="F5249" t="s">
        <v>12141</v>
      </c>
      <c r="G5249">
        <v>2</v>
      </c>
      <c r="H5249" t="s">
        <v>781</v>
      </c>
      <c r="I5249" t="s">
        <v>214</v>
      </c>
      <c r="J5249" t="s">
        <v>782</v>
      </c>
      <c r="K5249" t="s">
        <v>20</v>
      </c>
      <c r="L5249" t="s">
        <v>12142</v>
      </c>
      <c r="M5249" s="3" t="str">
        <f>HYPERLINK("..\..\Imagery\ScannedPhotos\1980\NN80-089.2.jpg")</f>
        <v>..\..\Imagery\ScannedPhotos\1980\NN80-089.2.jpg</v>
      </c>
    </row>
    <row r="5250" spans="1:13" x14ac:dyDescent="0.25">
      <c r="A5250" t="s">
        <v>9568</v>
      </c>
      <c r="B5250">
        <v>581271</v>
      </c>
      <c r="C5250">
        <v>5838869</v>
      </c>
      <c r="D5250">
        <v>21</v>
      </c>
      <c r="E5250" t="s">
        <v>15</v>
      </c>
      <c r="F5250" t="s">
        <v>12143</v>
      </c>
      <c r="G5250">
        <v>2</v>
      </c>
      <c r="H5250" t="s">
        <v>288</v>
      </c>
      <c r="I5250" t="s">
        <v>386</v>
      </c>
      <c r="J5250" t="s">
        <v>289</v>
      </c>
      <c r="K5250" t="s">
        <v>20</v>
      </c>
      <c r="L5250" t="s">
        <v>9570</v>
      </c>
      <c r="M5250" s="3" t="str">
        <f>HYPERLINK("..\..\Imagery\ScannedPhotos\1986\CG86-682.2.jpg")</f>
        <v>..\..\Imagery\ScannedPhotos\1986\CG86-682.2.jpg</v>
      </c>
    </row>
    <row r="5251" spans="1:13" x14ac:dyDescent="0.25">
      <c r="A5251" t="s">
        <v>11752</v>
      </c>
      <c r="B5251">
        <v>474829</v>
      </c>
      <c r="C5251">
        <v>5823629</v>
      </c>
      <c r="D5251">
        <v>21</v>
      </c>
      <c r="E5251" t="s">
        <v>15</v>
      </c>
      <c r="F5251" t="s">
        <v>12144</v>
      </c>
      <c r="G5251">
        <v>2</v>
      </c>
      <c r="H5251" t="s">
        <v>849</v>
      </c>
      <c r="I5251" t="s">
        <v>119</v>
      </c>
      <c r="J5251" t="s">
        <v>850</v>
      </c>
      <c r="K5251" t="s">
        <v>20</v>
      </c>
      <c r="L5251" t="s">
        <v>11754</v>
      </c>
      <c r="M5251" s="3" t="str">
        <f>HYPERLINK("..\..\Imagery\ScannedPhotos\1991\VN91-195.2.jpg")</f>
        <v>..\..\Imagery\ScannedPhotos\1991\VN91-195.2.jpg</v>
      </c>
    </row>
    <row r="5252" spans="1:13" x14ac:dyDescent="0.25">
      <c r="A5252" t="s">
        <v>4327</v>
      </c>
      <c r="B5252">
        <v>596516</v>
      </c>
      <c r="C5252">
        <v>5791197</v>
      </c>
      <c r="D5252">
        <v>21</v>
      </c>
      <c r="E5252" t="s">
        <v>15</v>
      </c>
      <c r="F5252" t="s">
        <v>12145</v>
      </c>
      <c r="G5252">
        <v>3</v>
      </c>
      <c r="H5252" t="s">
        <v>1650</v>
      </c>
      <c r="I5252" t="s">
        <v>222</v>
      </c>
      <c r="J5252" t="s">
        <v>1651</v>
      </c>
      <c r="K5252" t="s">
        <v>20</v>
      </c>
      <c r="L5252" t="s">
        <v>12146</v>
      </c>
      <c r="M5252" s="3" t="str">
        <f>HYPERLINK("..\..\Imagery\ScannedPhotos\1987\CG87-492.3.jpg")</f>
        <v>..\..\Imagery\ScannedPhotos\1987\CG87-492.3.jpg</v>
      </c>
    </row>
    <row r="5253" spans="1:13" x14ac:dyDescent="0.25">
      <c r="A5253" t="s">
        <v>12147</v>
      </c>
      <c r="B5253">
        <v>596571</v>
      </c>
      <c r="C5253">
        <v>5790962</v>
      </c>
      <c r="D5253">
        <v>21</v>
      </c>
      <c r="E5253" t="s">
        <v>15</v>
      </c>
      <c r="F5253" t="s">
        <v>12148</v>
      </c>
      <c r="G5253">
        <v>1</v>
      </c>
      <c r="H5253" t="s">
        <v>1650</v>
      </c>
      <c r="I5253" t="s">
        <v>418</v>
      </c>
      <c r="J5253" t="s">
        <v>1651</v>
      </c>
      <c r="K5253" t="s">
        <v>20</v>
      </c>
      <c r="L5253" t="s">
        <v>12149</v>
      </c>
      <c r="M5253" s="3" t="str">
        <f>HYPERLINK("..\..\Imagery\ScannedPhotos\1987\CG87-493.jpg")</f>
        <v>..\..\Imagery\ScannedPhotos\1987\CG87-493.jpg</v>
      </c>
    </row>
    <row r="5254" spans="1:13" x14ac:dyDescent="0.25">
      <c r="A5254" t="s">
        <v>12150</v>
      </c>
      <c r="B5254">
        <v>594664</v>
      </c>
      <c r="C5254">
        <v>5790960</v>
      </c>
      <c r="D5254">
        <v>21</v>
      </c>
      <c r="E5254" t="s">
        <v>15</v>
      </c>
      <c r="F5254" t="s">
        <v>12151</v>
      </c>
      <c r="G5254">
        <v>1</v>
      </c>
      <c r="H5254" t="s">
        <v>1650</v>
      </c>
      <c r="I5254" t="s">
        <v>195</v>
      </c>
      <c r="J5254" t="s">
        <v>1651</v>
      </c>
      <c r="K5254" t="s">
        <v>20</v>
      </c>
      <c r="L5254" t="s">
        <v>915</v>
      </c>
      <c r="M5254" s="3" t="str">
        <f>HYPERLINK("..\..\Imagery\ScannedPhotos\1987\CG87-497.jpg")</f>
        <v>..\..\Imagery\ScannedPhotos\1987\CG87-497.jpg</v>
      </c>
    </row>
    <row r="5255" spans="1:13" x14ac:dyDescent="0.25">
      <c r="A5255" t="s">
        <v>4330</v>
      </c>
      <c r="B5255">
        <v>593305</v>
      </c>
      <c r="C5255">
        <v>5790034</v>
      </c>
      <c r="D5255">
        <v>21</v>
      </c>
      <c r="E5255" t="s">
        <v>15</v>
      </c>
      <c r="F5255" t="s">
        <v>12152</v>
      </c>
      <c r="G5255">
        <v>2</v>
      </c>
      <c r="H5255" t="s">
        <v>1650</v>
      </c>
      <c r="I5255" t="s">
        <v>360</v>
      </c>
      <c r="J5255" t="s">
        <v>1651</v>
      </c>
      <c r="K5255" t="s">
        <v>20</v>
      </c>
      <c r="L5255" t="s">
        <v>4332</v>
      </c>
      <c r="M5255" s="3" t="str">
        <f>HYPERLINK("..\..\Imagery\ScannedPhotos\1987\CG87-502.2.jpg")</f>
        <v>..\..\Imagery\ScannedPhotos\1987\CG87-502.2.jpg</v>
      </c>
    </row>
    <row r="5256" spans="1:13" x14ac:dyDescent="0.25">
      <c r="A5256" t="s">
        <v>6236</v>
      </c>
      <c r="B5256">
        <v>598866</v>
      </c>
      <c r="C5256">
        <v>5789705</v>
      </c>
      <c r="D5256">
        <v>21</v>
      </c>
      <c r="E5256" t="s">
        <v>15</v>
      </c>
      <c r="F5256" t="s">
        <v>12153</v>
      </c>
      <c r="G5256">
        <v>3</v>
      </c>
      <c r="H5256" t="s">
        <v>1650</v>
      </c>
      <c r="I5256" t="s">
        <v>114</v>
      </c>
      <c r="J5256" t="s">
        <v>1651</v>
      </c>
      <c r="K5256" t="s">
        <v>20</v>
      </c>
      <c r="L5256" t="s">
        <v>12154</v>
      </c>
      <c r="M5256" s="3" t="str">
        <f>HYPERLINK("..\..\Imagery\ScannedPhotos\1987\CG87-563.2.jpg")</f>
        <v>..\..\Imagery\ScannedPhotos\1987\CG87-563.2.jpg</v>
      </c>
    </row>
    <row r="5257" spans="1:13" x14ac:dyDescent="0.25">
      <c r="A5257" t="s">
        <v>6236</v>
      </c>
      <c r="B5257">
        <v>598866</v>
      </c>
      <c r="C5257">
        <v>5789705</v>
      </c>
      <c r="D5257">
        <v>21</v>
      </c>
      <c r="E5257" t="s">
        <v>15</v>
      </c>
      <c r="F5257" t="s">
        <v>12155</v>
      </c>
      <c r="G5257">
        <v>3</v>
      </c>
      <c r="H5257" t="s">
        <v>1650</v>
      </c>
      <c r="I5257" t="s">
        <v>30</v>
      </c>
      <c r="J5257" t="s">
        <v>1651</v>
      </c>
      <c r="K5257" t="s">
        <v>20</v>
      </c>
      <c r="L5257" t="s">
        <v>12154</v>
      </c>
      <c r="M5257" s="3" t="str">
        <f>HYPERLINK("..\..\Imagery\ScannedPhotos\1987\CG87-563.1.jpg")</f>
        <v>..\..\Imagery\ScannedPhotos\1987\CG87-563.1.jpg</v>
      </c>
    </row>
    <row r="5258" spans="1:13" x14ac:dyDescent="0.25">
      <c r="A5258" t="s">
        <v>2234</v>
      </c>
      <c r="B5258">
        <v>347542</v>
      </c>
      <c r="C5258">
        <v>5781198</v>
      </c>
      <c r="D5258">
        <v>21</v>
      </c>
      <c r="E5258" t="s">
        <v>15</v>
      </c>
      <c r="F5258" t="s">
        <v>12156</v>
      </c>
      <c r="G5258">
        <v>1</v>
      </c>
      <c r="H5258" t="s">
        <v>2236</v>
      </c>
      <c r="I5258" t="s">
        <v>281</v>
      </c>
      <c r="J5258" t="s">
        <v>80</v>
      </c>
      <c r="K5258" t="s">
        <v>20</v>
      </c>
      <c r="L5258" t="s">
        <v>12157</v>
      </c>
      <c r="M5258" s="3" t="str">
        <f>HYPERLINK("..\..\Imagery\ScannedPhotos\2000\CG00-219.2.jpg")</f>
        <v>..\..\Imagery\ScannedPhotos\2000\CG00-219.2.jpg</v>
      </c>
    </row>
    <row r="5259" spans="1:13" x14ac:dyDescent="0.25">
      <c r="A5259" t="s">
        <v>9740</v>
      </c>
      <c r="B5259">
        <v>348549</v>
      </c>
      <c r="C5259">
        <v>5778559</v>
      </c>
      <c r="D5259">
        <v>21</v>
      </c>
      <c r="E5259" t="s">
        <v>15</v>
      </c>
      <c r="F5259" t="s">
        <v>12158</v>
      </c>
      <c r="G5259">
        <v>6</v>
      </c>
      <c r="H5259" t="s">
        <v>2236</v>
      </c>
      <c r="I5259" t="s">
        <v>137</v>
      </c>
      <c r="J5259" t="s">
        <v>80</v>
      </c>
      <c r="K5259" t="s">
        <v>20</v>
      </c>
      <c r="L5259" t="s">
        <v>12159</v>
      </c>
      <c r="M5259" s="3" t="str">
        <f>HYPERLINK("..\..\Imagery\ScannedPhotos\2000\CG00-221.1.jpg")</f>
        <v>..\..\Imagery\ScannedPhotos\2000\CG00-221.1.jpg</v>
      </c>
    </row>
    <row r="5260" spans="1:13" x14ac:dyDescent="0.25">
      <c r="A5260" t="s">
        <v>9740</v>
      </c>
      <c r="B5260">
        <v>348549</v>
      </c>
      <c r="C5260">
        <v>5778559</v>
      </c>
      <c r="D5260">
        <v>21</v>
      </c>
      <c r="E5260" t="s">
        <v>15</v>
      </c>
      <c r="F5260" t="s">
        <v>12160</v>
      </c>
      <c r="G5260">
        <v>6</v>
      </c>
      <c r="H5260" t="s">
        <v>3404</v>
      </c>
      <c r="I5260" t="s">
        <v>195</v>
      </c>
      <c r="J5260" t="s">
        <v>80</v>
      </c>
      <c r="K5260" t="s">
        <v>56</v>
      </c>
      <c r="L5260" t="s">
        <v>9742</v>
      </c>
      <c r="M5260" s="3" t="str">
        <f>HYPERLINK("..\..\Imagery\ScannedPhotos\2000\CG00-221.2.jpg")</f>
        <v>..\..\Imagery\ScannedPhotos\2000\CG00-221.2.jpg</v>
      </c>
    </row>
    <row r="5261" spans="1:13" x14ac:dyDescent="0.25">
      <c r="A5261" t="s">
        <v>9740</v>
      </c>
      <c r="B5261">
        <v>348549</v>
      </c>
      <c r="C5261">
        <v>5778559</v>
      </c>
      <c r="D5261">
        <v>21</v>
      </c>
      <c r="E5261" t="s">
        <v>15</v>
      </c>
      <c r="F5261" t="s">
        <v>12161</v>
      </c>
      <c r="G5261">
        <v>6</v>
      </c>
      <c r="H5261" t="s">
        <v>3404</v>
      </c>
      <c r="I5261" t="s">
        <v>25</v>
      </c>
      <c r="J5261" t="s">
        <v>80</v>
      </c>
      <c r="K5261" t="s">
        <v>20</v>
      </c>
      <c r="L5261" t="s">
        <v>9742</v>
      </c>
      <c r="M5261" s="3" t="str">
        <f>HYPERLINK("..\..\Imagery\ScannedPhotos\2000\CG00-221.3.jpg")</f>
        <v>..\..\Imagery\ScannedPhotos\2000\CG00-221.3.jpg</v>
      </c>
    </row>
    <row r="5262" spans="1:13" x14ac:dyDescent="0.25">
      <c r="A5262" t="s">
        <v>9740</v>
      </c>
      <c r="B5262">
        <v>348549</v>
      </c>
      <c r="C5262">
        <v>5778559</v>
      </c>
      <c r="D5262">
        <v>21</v>
      </c>
      <c r="E5262" t="s">
        <v>15</v>
      </c>
      <c r="F5262" t="s">
        <v>12162</v>
      </c>
      <c r="G5262">
        <v>6</v>
      </c>
      <c r="H5262" t="s">
        <v>3404</v>
      </c>
      <c r="I5262" t="s">
        <v>647</v>
      </c>
      <c r="J5262" t="s">
        <v>80</v>
      </c>
      <c r="K5262" t="s">
        <v>20</v>
      </c>
      <c r="L5262" t="s">
        <v>9742</v>
      </c>
      <c r="M5262" s="3" t="str">
        <f>HYPERLINK("..\..\Imagery\ScannedPhotos\2000\CG00-221.5.jpg")</f>
        <v>..\..\Imagery\ScannedPhotos\2000\CG00-221.5.jpg</v>
      </c>
    </row>
    <row r="5263" spans="1:13" x14ac:dyDescent="0.25">
      <c r="A5263" t="s">
        <v>12163</v>
      </c>
      <c r="B5263">
        <v>347941</v>
      </c>
      <c r="C5263">
        <v>5791318</v>
      </c>
      <c r="D5263">
        <v>21</v>
      </c>
      <c r="E5263" t="s">
        <v>15</v>
      </c>
      <c r="F5263" t="s">
        <v>12164</v>
      </c>
      <c r="G5263">
        <v>1</v>
      </c>
      <c r="H5263" t="s">
        <v>2236</v>
      </c>
      <c r="I5263" t="s">
        <v>217</v>
      </c>
      <c r="J5263" t="s">
        <v>80</v>
      </c>
      <c r="K5263" t="s">
        <v>56</v>
      </c>
      <c r="L5263" t="s">
        <v>776</v>
      </c>
      <c r="M5263" s="3" t="str">
        <f>HYPERLINK("..\..\Imagery\ScannedPhotos\2000\CG00-255.jpg")</f>
        <v>..\..\Imagery\ScannedPhotos\2000\CG00-255.jpg</v>
      </c>
    </row>
    <row r="5264" spans="1:13" x14ac:dyDescent="0.25">
      <c r="A5264" t="s">
        <v>12165</v>
      </c>
      <c r="B5264">
        <v>352211</v>
      </c>
      <c r="C5264">
        <v>5784274</v>
      </c>
      <c r="D5264">
        <v>21</v>
      </c>
      <c r="E5264" t="s">
        <v>15</v>
      </c>
      <c r="F5264" t="s">
        <v>12166</v>
      </c>
      <c r="G5264">
        <v>1</v>
      </c>
      <c r="H5264" t="s">
        <v>2236</v>
      </c>
      <c r="I5264" t="s">
        <v>214</v>
      </c>
      <c r="J5264" t="s">
        <v>80</v>
      </c>
      <c r="K5264" t="s">
        <v>20</v>
      </c>
      <c r="L5264" t="s">
        <v>12167</v>
      </c>
      <c r="M5264" s="3" t="str">
        <f>HYPERLINK("..\..\Imagery\ScannedPhotos\2000\CG00-258.jpg")</f>
        <v>..\..\Imagery\ScannedPhotos\2000\CG00-258.jpg</v>
      </c>
    </row>
    <row r="5265" spans="1:13" x14ac:dyDescent="0.25">
      <c r="A5265" t="s">
        <v>9175</v>
      </c>
      <c r="B5265">
        <v>324912</v>
      </c>
      <c r="C5265">
        <v>5817692</v>
      </c>
      <c r="D5265">
        <v>21</v>
      </c>
      <c r="E5265" t="s">
        <v>15</v>
      </c>
      <c r="F5265" t="s">
        <v>12168</v>
      </c>
      <c r="G5265">
        <v>2</v>
      </c>
      <c r="H5265" t="s">
        <v>2236</v>
      </c>
      <c r="I5265" t="s">
        <v>418</v>
      </c>
      <c r="J5265" t="s">
        <v>80</v>
      </c>
      <c r="K5265" t="s">
        <v>20</v>
      </c>
      <c r="L5265" t="s">
        <v>4646</v>
      </c>
      <c r="M5265" s="3" t="str">
        <f>HYPERLINK("..\..\Imagery\ScannedPhotos\2000\CG00-271.1.jpg")</f>
        <v>..\..\Imagery\ScannedPhotos\2000\CG00-271.1.jpg</v>
      </c>
    </row>
    <row r="5266" spans="1:13" x14ac:dyDescent="0.25">
      <c r="A5266" t="s">
        <v>11393</v>
      </c>
      <c r="B5266">
        <v>494858</v>
      </c>
      <c r="C5266">
        <v>5819830</v>
      </c>
      <c r="D5266">
        <v>21</v>
      </c>
      <c r="E5266" t="s">
        <v>15</v>
      </c>
      <c r="F5266" t="s">
        <v>12169</v>
      </c>
      <c r="G5266">
        <v>2</v>
      </c>
      <c r="H5266" t="s">
        <v>2719</v>
      </c>
      <c r="I5266" t="s">
        <v>126</v>
      </c>
      <c r="J5266" t="s">
        <v>891</v>
      </c>
      <c r="K5266" t="s">
        <v>20</v>
      </c>
      <c r="L5266" t="s">
        <v>12170</v>
      </c>
      <c r="M5266" s="3" t="str">
        <f>HYPERLINK("..\..\Imagery\ScannedPhotos\1991\VN91-266.1.jpg")</f>
        <v>..\..\Imagery\ScannedPhotos\1991\VN91-266.1.jpg</v>
      </c>
    </row>
    <row r="5267" spans="1:13" x14ac:dyDescent="0.25">
      <c r="A5267" t="s">
        <v>7193</v>
      </c>
      <c r="B5267">
        <v>582141</v>
      </c>
      <c r="C5267">
        <v>5927434</v>
      </c>
      <c r="D5267">
        <v>21</v>
      </c>
      <c r="E5267" t="s">
        <v>15</v>
      </c>
      <c r="F5267" t="s">
        <v>12171</v>
      </c>
      <c r="G5267">
        <v>8</v>
      </c>
      <c r="H5267" t="s">
        <v>2084</v>
      </c>
      <c r="I5267" t="s">
        <v>647</v>
      </c>
      <c r="J5267" t="s">
        <v>1014</v>
      </c>
      <c r="K5267" t="s">
        <v>228</v>
      </c>
      <c r="L5267" t="s">
        <v>12172</v>
      </c>
      <c r="M5267" s="3" t="str">
        <f>HYPERLINK("..\..\Imagery\ScannedPhotos\1985\SP85-133.2.jpg")</f>
        <v>..\..\Imagery\ScannedPhotos\1985\SP85-133.2.jpg</v>
      </c>
    </row>
    <row r="5268" spans="1:13" x14ac:dyDescent="0.25">
      <c r="A5268" t="s">
        <v>12173</v>
      </c>
      <c r="B5268">
        <v>579503</v>
      </c>
      <c r="C5268">
        <v>5894184</v>
      </c>
      <c r="D5268">
        <v>21</v>
      </c>
      <c r="E5268" t="s">
        <v>15</v>
      </c>
      <c r="F5268" t="s">
        <v>12174</v>
      </c>
      <c r="G5268">
        <v>3</v>
      </c>
      <c r="H5268" t="s">
        <v>627</v>
      </c>
      <c r="I5268" t="s">
        <v>222</v>
      </c>
      <c r="J5268" t="s">
        <v>628</v>
      </c>
      <c r="K5268" t="s">
        <v>20</v>
      </c>
      <c r="L5268" t="s">
        <v>12175</v>
      </c>
      <c r="M5268" s="3" t="str">
        <f>HYPERLINK("..\..\Imagery\ScannedPhotos\1985\CG85-492.2.jpg")</f>
        <v>..\..\Imagery\ScannedPhotos\1985\CG85-492.2.jpg</v>
      </c>
    </row>
    <row r="5269" spans="1:13" x14ac:dyDescent="0.25">
      <c r="A5269" t="s">
        <v>12176</v>
      </c>
      <c r="B5269">
        <v>504987</v>
      </c>
      <c r="C5269">
        <v>5953723</v>
      </c>
      <c r="D5269">
        <v>21</v>
      </c>
      <c r="E5269" t="s">
        <v>15</v>
      </c>
      <c r="F5269" t="s">
        <v>12177</v>
      </c>
      <c r="G5269">
        <v>1</v>
      </c>
      <c r="H5269" t="s">
        <v>6876</v>
      </c>
      <c r="I5269" t="s">
        <v>294</v>
      </c>
      <c r="J5269" t="s">
        <v>48</v>
      </c>
      <c r="K5269" t="s">
        <v>20</v>
      </c>
      <c r="L5269" t="s">
        <v>8421</v>
      </c>
      <c r="M5269" s="3" t="str">
        <f>HYPERLINK("..\..\Imagery\ScannedPhotos\1981\VO81-002.jpg")</f>
        <v>..\..\Imagery\ScannedPhotos\1981\VO81-002.jpg</v>
      </c>
    </row>
    <row r="5270" spans="1:13" x14ac:dyDescent="0.25">
      <c r="A5270" t="s">
        <v>1824</v>
      </c>
      <c r="B5270">
        <v>370307</v>
      </c>
      <c r="C5270">
        <v>5889007</v>
      </c>
      <c r="D5270">
        <v>21</v>
      </c>
      <c r="E5270" t="s">
        <v>15</v>
      </c>
      <c r="F5270" t="s">
        <v>12178</v>
      </c>
      <c r="G5270">
        <v>4</v>
      </c>
      <c r="H5270" t="s">
        <v>1826</v>
      </c>
      <c r="I5270" t="s">
        <v>132</v>
      </c>
      <c r="J5270" t="s">
        <v>557</v>
      </c>
      <c r="K5270" t="s">
        <v>20</v>
      </c>
      <c r="L5270" t="s">
        <v>1827</v>
      </c>
      <c r="M5270" s="3" t="str">
        <f>HYPERLINK("..\..\Imagery\ScannedPhotos\1995\CG95-206.2.jpg")</f>
        <v>..\..\Imagery\ScannedPhotos\1995\CG95-206.2.jpg</v>
      </c>
    </row>
    <row r="5271" spans="1:13" x14ac:dyDescent="0.25">
      <c r="A5271" t="s">
        <v>10004</v>
      </c>
      <c r="B5271">
        <v>456850</v>
      </c>
      <c r="C5271">
        <v>5858125</v>
      </c>
      <c r="D5271">
        <v>21</v>
      </c>
      <c r="E5271" t="s">
        <v>15</v>
      </c>
      <c r="F5271" t="s">
        <v>12179</v>
      </c>
      <c r="G5271">
        <v>2</v>
      </c>
      <c r="H5271" t="s">
        <v>1048</v>
      </c>
      <c r="I5271" t="s">
        <v>386</v>
      </c>
      <c r="J5271" t="s">
        <v>1038</v>
      </c>
      <c r="K5271" t="s">
        <v>20</v>
      </c>
      <c r="L5271" t="s">
        <v>322</v>
      </c>
      <c r="M5271" s="3" t="str">
        <f>HYPERLINK("..\..\Imagery\ScannedPhotos\1991\DD91-136.1.jpg")</f>
        <v>..\..\Imagery\ScannedPhotos\1991\DD91-136.1.jpg</v>
      </c>
    </row>
    <row r="5272" spans="1:13" x14ac:dyDescent="0.25">
      <c r="A5272" t="s">
        <v>12180</v>
      </c>
      <c r="B5272">
        <v>499725</v>
      </c>
      <c r="C5272">
        <v>5838000</v>
      </c>
      <c r="D5272">
        <v>21</v>
      </c>
      <c r="E5272" t="s">
        <v>15</v>
      </c>
      <c r="F5272" t="s">
        <v>12181</v>
      </c>
      <c r="G5272">
        <v>1</v>
      </c>
      <c r="H5272" t="s">
        <v>1712</v>
      </c>
      <c r="I5272" t="s">
        <v>217</v>
      </c>
      <c r="J5272" t="s">
        <v>1713</v>
      </c>
      <c r="K5272" t="s">
        <v>56</v>
      </c>
      <c r="L5272" t="s">
        <v>322</v>
      </c>
      <c r="M5272" s="3" t="str">
        <f>HYPERLINK("..\..\Imagery\ScannedPhotos\1991\DE91-089.jpg")</f>
        <v>..\..\Imagery\ScannedPhotos\1991\DE91-089.jpg</v>
      </c>
    </row>
    <row r="5273" spans="1:13" x14ac:dyDescent="0.25">
      <c r="A5273" t="s">
        <v>11265</v>
      </c>
      <c r="B5273">
        <v>488896</v>
      </c>
      <c r="C5273">
        <v>5785090</v>
      </c>
      <c r="D5273">
        <v>21</v>
      </c>
      <c r="E5273" t="s">
        <v>15</v>
      </c>
      <c r="F5273" t="s">
        <v>12182</v>
      </c>
      <c r="G5273">
        <v>3</v>
      </c>
      <c r="H5273" t="s">
        <v>2340</v>
      </c>
      <c r="I5273" t="s">
        <v>386</v>
      </c>
      <c r="J5273" t="s">
        <v>2341</v>
      </c>
      <c r="K5273" t="s">
        <v>20</v>
      </c>
      <c r="L5273" t="s">
        <v>356</v>
      </c>
      <c r="M5273" s="3" t="str">
        <f>HYPERLINK("..\..\Imagery\ScannedPhotos\1992\HP92-058.2.jpg")</f>
        <v>..\..\Imagery\ScannedPhotos\1992\HP92-058.2.jpg</v>
      </c>
    </row>
    <row r="5274" spans="1:13" x14ac:dyDescent="0.25">
      <c r="A5274" t="s">
        <v>12183</v>
      </c>
      <c r="B5274">
        <v>539953</v>
      </c>
      <c r="C5274">
        <v>5746447</v>
      </c>
      <c r="D5274">
        <v>21</v>
      </c>
      <c r="E5274" t="s">
        <v>15</v>
      </c>
      <c r="F5274" t="s">
        <v>12184</v>
      </c>
      <c r="G5274">
        <v>2</v>
      </c>
      <c r="H5274" t="s">
        <v>6322</v>
      </c>
      <c r="I5274" t="s">
        <v>143</v>
      </c>
      <c r="J5274" t="s">
        <v>996</v>
      </c>
      <c r="K5274" t="s">
        <v>20</v>
      </c>
      <c r="L5274" t="s">
        <v>12185</v>
      </c>
      <c r="M5274" s="3" t="str">
        <f>HYPERLINK("..\..\Imagery\ScannedPhotos\1993\VN93-526.1.jpg")</f>
        <v>..\..\Imagery\ScannedPhotos\1993\VN93-526.1.jpg</v>
      </c>
    </row>
    <row r="5275" spans="1:13" x14ac:dyDescent="0.25">
      <c r="A5275" t="s">
        <v>10311</v>
      </c>
      <c r="B5275">
        <v>542496</v>
      </c>
      <c r="C5275">
        <v>5752809</v>
      </c>
      <c r="D5275">
        <v>21</v>
      </c>
      <c r="E5275" t="s">
        <v>15</v>
      </c>
      <c r="F5275" t="s">
        <v>12186</v>
      </c>
      <c r="G5275">
        <v>3</v>
      </c>
      <c r="H5275" t="s">
        <v>6322</v>
      </c>
      <c r="I5275" t="s">
        <v>47</v>
      </c>
      <c r="J5275" t="s">
        <v>996</v>
      </c>
      <c r="K5275" t="s">
        <v>20</v>
      </c>
      <c r="L5275" t="s">
        <v>12187</v>
      </c>
      <c r="M5275" s="3" t="str">
        <f>HYPERLINK("..\..\Imagery\ScannedPhotos\1993\VN93-562.1.jpg")</f>
        <v>..\..\Imagery\ScannedPhotos\1993\VN93-562.1.jpg</v>
      </c>
    </row>
    <row r="5276" spans="1:13" x14ac:dyDescent="0.25">
      <c r="A5276" t="s">
        <v>12188</v>
      </c>
      <c r="B5276">
        <v>550565</v>
      </c>
      <c r="C5276">
        <v>5738807</v>
      </c>
      <c r="D5276">
        <v>21</v>
      </c>
      <c r="E5276" t="s">
        <v>15</v>
      </c>
      <c r="F5276" t="s">
        <v>12189</v>
      </c>
      <c r="G5276">
        <v>1</v>
      </c>
      <c r="H5276" t="s">
        <v>1784</v>
      </c>
      <c r="I5276" t="s">
        <v>418</v>
      </c>
      <c r="J5276" t="s">
        <v>1738</v>
      </c>
      <c r="K5276" t="s">
        <v>56</v>
      </c>
      <c r="L5276" t="s">
        <v>12190</v>
      </c>
      <c r="M5276" s="3" t="str">
        <f>HYPERLINK("..\..\Imagery\ScannedPhotos\1993\VN93-243.jpg")</f>
        <v>..\..\Imagery\ScannedPhotos\1993\VN93-243.jpg</v>
      </c>
    </row>
    <row r="5277" spans="1:13" x14ac:dyDescent="0.25">
      <c r="A5277" t="s">
        <v>12191</v>
      </c>
      <c r="B5277">
        <v>549644</v>
      </c>
      <c r="C5277">
        <v>5737316</v>
      </c>
      <c r="D5277">
        <v>21</v>
      </c>
      <c r="E5277" t="s">
        <v>15</v>
      </c>
      <c r="F5277" t="s">
        <v>12192</v>
      </c>
      <c r="G5277">
        <v>3</v>
      </c>
      <c r="H5277" t="s">
        <v>1784</v>
      </c>
      <c r="I5277" t="s">
        <v>25</v>
      </c>
      <c r="J5277" t="s">
        <v>1738</v>
      </c>
      <c r="K5277" t="s">
        <v>20</v>
      </c>
      <c r="L5277" t="s">
        <v>12193</v>
      </c>
      <c r="M5277" s="3" t="str">
        <f>HYPERLINK("..\..\Imagery\ScannedPhotos\1993\VN93-246.3.jpg")</f>
        <v>..\..\Imagery\ScannedPhotos\1993\VN93-246.3.jpg</v>
      </c>
    </row>
    <row r="5278" spans="1:13" x14ac:dyDescent="0.25">
      <c r="A5278" t="s">
        <v>12191</v>
      </c>
      <c r="B5278">
        <v>549644</v>
      </c>
      <c r="C5278">
        <v>5737316</v>
      </c>
      <c r="D5278">
        <v>21</v>
      </c>
      <c r="E5278" t="s">
        <v>15</v>
      </c>
      <c r="F5278" t="s">
        <v>12194</v>
      </c>
      <c r="G5278">
        <v>3</v>
      </c>
      <c r="H5278" t="s">
        <v>1784</v>
      </c>
      <c r="I5278" t="s">
        <v>304</v>
      </c>
      <c r="J5278" t="s">
        <v>1738</v>
      </c>
      <c r="K5278" t="s">
        <v>56</v>
      </c>
      <c r="L5278" t="s">
        <v>12195</v>
      </c>
      <c r="M5278" s="3" t="str">
        <f>HYPERLINK("..\..\Imagery\ScannedPhotos\1993\VN93-246.1.jpg")</f>
        <v>..\..\Imagery\ScannedPhotos\1993\VN93-246.1.jpg</v>
      </c>
    </row>
    <row r="5279" spans="1:13" x14ac:dyDescent="0.25">
      <c r="A5279" t="s">
        <v>12191</v>
      </c>
      <c r="B5279">
        <v>549644</v>
      </c>
      <c r="C5279">
        <v>5737316</v>
      </c>
      <c r="D5279">
        <v>21</v>
      </c>
      <c r="E5279" t="s">
        <v>15</v>
      </c>
      <c r="F5279" t="s">
        <v>12196</v>
      </c>
      <c r="G5279">
        <v>3</v>
      </c>
      <c r="H5279" t="s">
        <v>1784</v>
      </c>
      <c r="I5279" t="s">
        <v>195</v>
      </c>
      <c r="J5279" t="s">
        <v>1738</v>
      </c>
      <c r="K5279" t="s">
        <v>20</v>
      </c>
      <c r="L5279" t="s">
        <v>12197</v>
      </c>
      <c r="M5279" s="3" t="str">
        <f>HYPERLINK("..\..\Imagery\ScannedPhotos\1993\VN93-246.2.jpg")</f>
        <v>..\..\Imagery\ScannedPhotos\1993\VN93-246.2.jpg</v>
      </c>
    </row>
    <row r="5280" spans="1:13" x14ac:dyDescent="0.25">
      <c r="A5280" t="s">
        <v>9993</v>
      </c>
      <c r="B5280">
        <v>431914</v>
      </c>
      <c r="C5280">
        <v>6018626</v>
      </c>
      <c r="D5280">
        <v>21</v>
      </c>
      <c r="E5280" t="s">
        <v>15</v>
      </c>
      <c r="F5280" t="s">
        <v>12198</v>
      </c>
      <c r="G5280">
        <v>2</v>
      </c>
      <c r="H5280" t="s">
        <v>4104</v>
      </c>
      <c r="I5280" t="s">
        <v>74</v>
      </c>
      <c r="J5280" t="s">
        <v>4105</v>
      </c>
      <c r="K5280" t="s">
        <v>56</v>
      </c>
      <c r="L5280" t="s">
        <v>9995</v>
      </c>
      <c r="M5280" s="3" t="str">
        <f>HYPERLINK("..\..\Imagery\ScannedPhotos\1979\CG79-918.1.jpg")</f>
        <v>..\..\Imagery\ScannedPhotos\1979\CG79-918.1.jpg</v>
      </c>
    </row>
    <row r="5281" spans="1:13" x14ac:dyDescent="0.25">
      <c r="A5281" t="s">
        <v>6114</v>
      </c>
      <c r="B5281">
        <v>387643</v>
      </c>
      <c r="C5281">
        <v>5823179</v>
      </c>
      <c r="D5281">
        <v>21</v>
      </c>
      <c r="E5281" t="s">
        <v>15</v>
      </c>
      <c r="F5281" t="s">
        <v>12199</v>
      </c>
      <c r="G5281">
        <v>3</v>
      </c>
      <c r="H5281" t="s">
        <v>770</v>
      </c>
      <c r="I5281" t="s">
        <v>375</v>
      </c>
      <c r="J5281" t="s">
        <v>771</v>
      </c>
      <c r="K5281" t="s">
        <v>20</v>
      </c>
      <c r="L5281" t="s">
        <v>6116</v>
      </c>
      <c r="M5281" s="3" t="str">
        <f>HYPERLINK("..\..\Imagery\ScannedPhotos\1997\CG97-299.3.jpg")</f>
        <v>..\..\Imagery\ScannedPhotos\1997\CG97-299.3.jpg</v>
      </c>
    </row>
    <row r="5282" spans="1:13" x14ac:dyDescent="0.25">
      <c r="A5282" t="s">
        <v>9842</v>
      </c>
      <c r="B5282">
        <v>389799</v>
      </c>
      <c r="C5282">
        <v>5845171</v>
      </c>
      <c r="D5282">
        <v>21</v>
      </c>
      <c r="E5282" t="s">
        <v>15</v>
      </c>
      <c r="F5282" t="s">
        <v>12200</v>
      </c>
      <c r="G5282">
        <v>4</v>
      </c>
      <c r="H5282" t="s">
        <v>770</v>
      </c>
      <c r="I5282" t="s">
        <v>69</v>
      </c>
      <c r="J5282" t="s">
        <v>771</v>
      </c>
      <c r="K5282" t="s">
        <v>56</v>
      </c>
      <c r="L5282" t="s">
        <v>6118</v>
      </c>
      <c r="M5282" s="3" t="str">
        <f>HYPERLINK("..\..\Imagery\ScannedPhotos\1997\CG97-300.4.jpg")</f>
        <v>..\..\Imagery\ScannedPhotos\1997\CG97-300.4.jpg</v>
      </c>
    </row>
    <row r="5283" spans="1:13" x14ac:dyDescent="0.25">
      <c r="A5283" t="s">
        <v>9842</v>
      </c>
      <c r="B5283">
        <v>389799</v>
      </c>
      <c r="C5283">
        <v>5845171</v>
      </c>
      <c r="D5283">
        <v>21</v>
      </c>
      <c r="E5283" t="s">
        <v>15</v>
      </c>
      <c r="F5283" t="s">
        <v>12201</v>
      </c>
      <c r="G5283">
        <v>4</v>
      </c>
      <c r="H5283" t="s">
        <v>770</v>
      </c>
      <c r="I5283" t="s">
        <v>35</v>
      </c>
      <c r="J5283" t="s">
        <v>771</v>
      </c>
      <c r="K5283" t="s">
        <v>56</v>
      </c>
      <c r="L5283" t="s">
        <v>6118</v>
      </c>
      <c r="M5283" s="3" t="str">
        <f>HYPERLINK("..\..\Imagery\ScannedPhotos\1997\CG97-300.3.jpg")</f>
        <v>..\..\Imagery\ScannedPhotos\1997\CG97-300.3.jpg</v>
      </c>
    </row>
    <row r="5284" spans="1:13" x14ac:dyDescent="0.25">
      <c r="A5284" t="s">
        <v>12202</v>
      </c>
      <c r="B5284">
        <v>586134</v>
      </c>
      <c r="C5284">
        <v>5790955</v>
      </c>
      <c r="D5284">
        <v>21</v>
      </c>
      <c r="E5284" t="s">
        <v>15</v>
      </c>
      <c r="F5284" t="s">
        <v>12203</v>
      </c>
      <c r="G5284">
        <v>1</v>
      </c>
      <c r="H5284" t="s">
        <v>2984</v>
      </c>
      <c r="I5284" t="s">
        <v>108</v>
      </c>
      <c r="J5284" t="s">
        <v>19</v>
      </c>
      <c r="K5284" t="s">
        <v>20</v>
      </c>
      <c r="L5284" t="s">
        <v>12204</v>
      </c>
      <c r="M5284" s="3" t="str">
        <f>HYPERLINK("..\..\Imagery\ScannedPhotos\1987\CG87-471.jpg")</f>
        <v>..\..\Imagery\ScannedPhotos\1987\CG87-471.jpg</v>
      </c>
    </row>
    <row r="5285" spans="1:13" x14ac:dyDescent="0.25">
      <c r="A5285" t="s">
        <v>4270</v>
      </c>
      <c r="B5285">
        <v>587557</v>
      </c>
      <c r="C5285">
        <v>5792659</v>
      </c>
      <c r="D5285">
        <v>21</v>
      </c>
      <c r="E5285" t="s">
        <v>15</v>
      </c>
      <c r="F5285" t="s">
        <v>12205</v>
      </c>
      <c r="G5285">
        <v>2</v>
      </c>
      <c r="H5285" t="s">
        <v>2984</v>
      </c>
      <c r="I5285" t="s">
        <v>143</v>
      </c>
      <c r="J5285" t="s">
        <v>19</v>
      </c>
      <c r="K5285" t="s">
        <v>20</v>
      </c>
      <c r="L5285" t="s">
        <v>4272</v>
      </c>
      <c r="M5285" s="3" t="str">
        <f>HYPERLINK("..\..\Imagery\ScannedPhotos\1987\CG87-477.2.jpg")</f>
        <v>..\..\Imagery\ScannedPhotos\1987\CG87-477.2.jpg</v>
      </c>
    </row>
    <row r="5286" spans="1:13" x14ac:dyDescent="0.25">
      <c r="A5286" t="s">
        <v>3088</v>
      </c>
      <c r="B5286">
        <v>542216</v>
      </c>
      <c r="C5286">
        <v>5742869</v>
      </c>
      <c r="D5286">
        <v>21</v>
      </c>
      <c r="E5286" t="s">
        <v>15</v>
      </c>
      <c r="F5286" t="s">
        <v>12206</v>
      </c>
      <c r="G5286">
        <v>2</v>
      </c>
      <c r="K5286" t="s">
        <v>56</v>
      </c>
      <c r="L5286" t="s">
        <v>12207</v>
      </c>
      <c r="M5286" s="3" t="str">
        <f>HYPERLINK("..\..\Imagery\ScannedPhotos\2003\CG03-029.1.jpg")</f>
        <v>..\..\Imagery\ScannedPhotos\2003\CG03-029.1.jpg</v>
      </c>
    </row>
    <row r="5287" spans="1:13" x14ac:dyDescent="0.25">
      <c r="A5287" t="s">
        <v>12208</v>
      </c>
      <c r="B5287">
        <v>541845</v>
      </c>
      <c r="C5287">
        <v>5744474</v>
      </c>
      <c r="D5287">
        <v>21</v>
      </c>
      <c r="E5287" t="s">
        <v>15</v>
      </c>
      <c r="F5287" t="s">
        <v>12209</v>
      </c>
      <c r="G5287">
        <v>1</v>
      </c>
      <c r="K5287" t="s">
        <v>20</v>
      </c>
      <c r="L5287" t="s">
        <v>12210</v>
      </c>
      <c r="M5287" s="3" t="str">
        <f>HYPERLINK("..\..\Imagery\ScannedPhotos\2003\CG03-033.jpg")</f>
        <v>..\..\Imagery\ScannedPhotos\2003\CG03-033.jpg</v>
      </c>
    </row>
    <row r="5288" spans="1:13" x14ac:dyDescent="0.25">
      <c r="A5288" t="s">
        <v>12211</v>
      </c>
      <c r="B5288">
        <v>541084</v>
      </c>
      <c r="C5288">
        <v>5748696</v>
      </c>
      <c r="D5288">
        <v>21</v>
      </c>
      <c r="E5288" t="s">
        <v>15</v>
      </c>
      <c r="F5288" t="s">
        <v>12212</v>
      </c>
      <c r="G5288">
        <v>1</v>
      </c>
      <c r="K5288" t="s">
        <v>228</v>
      </c>
      <c r="L5288" t="s">
        <v>12213</v>
      </c>
      <c r="M5288" s="3" t="str">
        <f>HYPERLINK("..\..\Imagery\ScannedPhotos\2003\CG03-035.jpg")</f>
        <v>..\..\Imagery\ScannedPhotos\2003\CG03-035.jpg</v>
      </c>
    </row>
    <row r="5289" spans="1:13" x14ac:dyDescent="0.25">
      <c r="A5289" t="s">
        <v>12214</v>
      </c>
      <c r="B5289">
        <v>540818</v>
      </c>
      <c r="C5289">
        <v>5749230</v>
      </c>
      <c r="D5289">
        <v>21</v>
      </c>
      <c r="E5289" t="s">
        <v>15</v>
      </c>
      <c r="F5289" t="s">
        <v>12215</v>
      </c>
      <c r="G5289">
        <v>1</v>
      </c>
      <c r="K5289" t="s">
        <v>56</v>
      </c>
      <c r="L5289" t="s">
        <v>8115</v>
      </c>
      <c r="M5289" s="3" t="str">
        <f>HYPERLINK("..\..\Imagery\ScannedPhotos\2003\CG03-038.jpg")</f>
        <v>..\..\Imagery\ScannedPhotos\2003\CG03-038.jpg</v>
      </c>
    </row>
    <row r="5290" spans="1:13" x14ac:dyDescent="0.25">
      <c r="A5290" t="s">
        <v>12216</v>
      </c>
      <c r="B5290">
        <v>540717</v>
      </c>
      <c r="C5290">
        <v>5749477</v>
      </c>
      <c r="D5290">
        <v>21</v>
      </c>
      <c r="E5290" t="s">
        <v>15</v>
      </c>
      <c r="F5290" t="s">
        <v>12217</v>
      </c>
      <c r="G5290">
        <v>1</v>
      </c>
      <c r="K5290" t="s">
        <v>56</v>
      </c>
      <c r="L5290" t="s">
        <v>12218</v>
      </c>
      <c r="M5290" s="3" t="str">
        <f>HYPERLINK("..\..\Imagery\ScannedPhotos\2003\CG03-039.jpg")</f>
        <v>..\..\Imagery\ScannedPhotos\2003\CG03-039.jpg</v>
      </c>
    </row>
    <row r="5291" spans="1:13" x14ac:dyDescent="0.25">
      <c r="A5291" t="s">
        <v>12219</v>
      </c>
      <c r="B5291">
        <v>540911</v>
      </c>
      <c r="C5291">
        <v>5752480</v>
      </c>
      <c r="D5291">
        <v>21</v>
      </c>
      <c r="E5291" t="s">
        <v>15</v>
      </c>
      <c r="F5291" t="s">
        <v>12220</v>
      </c>
      <c r="G5291">
        <v>1</v>
      </c>
      <c r="K5291" t="s">
        <v>228</v>
      </c>
      <c r="L5291" t="s">
        <v>11472</v>
      </c>
      <c r="M5291" s="3" t="str">
        <f>HYPERLINK("..\..\Imagery\ScannedPhotos\2003\CG03-042.jpg")</f>
        <v>..\..\Imagery\ScannedPhotos\2003\CG03-042.jpg</v>
      </c>
    </row>
    <row r="5292" spans="1:13" x14ac:dyDescent="0.25">
      <c r="A5292" t="s">
        <v>12221</v>
      </c>
      <c r="B5292">
        <v>542263</v>
      </c>
      <c r="C5292">
        <v>5753640</v>
      </c>
      <c r="D5292">
        <v>21</v>
      </c>
      <c r="E5292" t="s">
        <v>15</v>
      </c>
      <c r="F5292" t="s">
        <v>12222</v>
      </c>
      <c r="G5292">
        <v>1</v>
      </c>
      <c r="K5292" t="s">
        <v>56</v>
      </c>
      <c r="L5292" t="s">
        <v>12223</v>
      </c>
      <c r="M5292" s="3" t="str">
        <f>HYPERLINK("..\..\Imagery\ScannedPhotos\2003\CG03-044.jpg")</f>
        <v>..\..\Imagery\ScannedPhotos\2003\CG03-044.jpg</v>
      </c>
    </row>
    <row r="5293" spans="1:13" x14ac:dyDescent="0.25">
      <c r="A5293" t="s">
        <v>12224</v>
      </c>
      <c r="B5293">
        <v>543140</v>
      </c>
      <c r="C5293">
        <v>5753830</v>
      </c>
      <c r="D5293">
        <v>21</v>
      </c>
      <c r="E5293" t="s">
        <v>15</v>
      </c>
      <c r="F5293" t="s">
        <v>12225</v>
      </c>
      <c r="G5293">
        <v>1</v>
      </c>
      <c r="K5293" t="s">
        <v>20</v>
      </c>
      <c r="L5293" t="s">
        <v>12226</v>
      </c>
      <c r="M5293" s="3" t="str">
        <f>HYPERLINK("..\..\Imagery\ScannedPhotos\2003\CG03-045.jpg")</f>
        <v>..\..\Imagery\ScannedPhotos\2003\CG03-045.jpg</v>
      </c>
    </row>
    <row r="5294" spans="1:13" x14ac:dyDescent="0.25">
      <c r="A5294" t="s">
        <v>10647</v>
      </c>
      <c r="B5294">
        <v>545408</v>
      </c>
      <c r="C5294">
        <v>5755385</v>
      </c>
      <c r="D5294">
        <v>21</v>
      </c>
      <c r="E5294" t="s">
        <v>15</v>
      </c>
      <c r="F5294" t="s">
        <v>12227</v>
      </c>
      <c r="G5294">
        <v>2</v>
      </c>
      <c r="K5294" t="s">
        <v>56</v>
      </c>
      <c r="L5294" t="s">
        <v>7786</v>
      </c>
      <c r="M5294" s="3" t="str">
        <f>HYPERLINK("..\..\Imagery\ScannedPhotos\2003\CG03-052.1.jpg")</f>
        <v>..\..\Imagery\ScannedPhotos\2003\CG03-052.1.jpg</v>
      </c>
    </row>
    <row r="5295" spans="1:13" x14ac:dyDescent="0.25">
      <c r="A5295" t="s">
        <v>9951</v>
      </c>
      <c r="B5295">
        <v>583222</v>
      </c>
      <c r="C5295">
        <v>5881627</v>
      </c>
      <c r="D5295">
        <v>21</v>
      </c>
      <c r="E5295" t="s">
        <v>15</v>
      </c>
      <c r="F5295" t="s">
        <v>12228</v>
      </c>
      <c r="G5295">
        <v>5</v>
      </c>
      <c r="H5295" t="s">
        <v>1462</v>
      </c>
      <c r="I5295" t="s">
        <v>360</v>
      </c>
      <c r="J5295" t="s">
        <v>1463</v>
      </c>
      <c r="K5295" t="s">
        <v>20</v>
      </c>
      <c r="L5295" t="s">
        <v>168</v>
      </c>
      <c r="M5295" s="3" t="str">
        <f>HYPERLINK("..\..\Imagery\ScannedPhotos\1985\VN85-495.4.jpg")</f>
        <v>..\..\Imagery\ScannedPhotos\1985\VN85-495.4.jpg</v>
      </c>
    </row>
    <row r="5296" spans="1:13" x14ac:dyDescent="0.25">
      <c r="A5296" t="s">
        <v>12229</v>
      </c>
      <c r="B5296">
        <v>344444</v>
      </c>
      <c r="C5296">
        <v>5836488</v>
      </c>
      <c r="D5296">
        <v>21</v>
      </c>
      <c r="E5296" t="s">
        <v>15</v>
      </c>
      <c r="F5296" t="s">
        <v>12230</v>
      </c>
      <c r="G5296">
        <v>4</v>
      </c>
      <c r="H5296" t="s">
        <v>259</v>
      </c>
      <c r="I5296" t="s">
        <v>129</v>
      </c>
      <c r="J5296" t="s">
        <v>260</v>
      </c>
      <c r="K5296" t="s">
        <v>56</v>
      </c>
      <c r="L5296" t="s">
        <v>12231</v>
      </c>
      <c r="M5296" s="3" t="str">
        <f>HYPERLINK("..\..\Imagery\ScannedPhotos\1998\CG98-128.3.jpg")</f>
        <v>..\..\Imagery\ScannedPhotos\1998\CG98-128.3.jpg</v>
      </c>
    </row>
    <row r="5297" spans="1:13" x14ac:dyDescent="0.25">
      <c r="A5297" t="s">
        <v>12229</v>
      </c>
      <c r="B5297">
        <v>344444</v>
      </c>
      <c r="C5297">
        <v>5836488</v>
      </c>
      <c r="D5297">
        <v>21</v>
      </c>
      <c r="E5297" t="s">
        <v>15</v>
      </c>
      <c r="F5297" t="s">
        <v>12232</v>
      </c>
      <c r="G5297">
        <v>4</v>
      </c>
      <c r="H5297" t="s">
        <v>259</v>
      </c>
      <c r="I5297" t="s">
        <v>132</v>
      </c>
      <c r="J5297" t="s">
        <v>260</v>
      </c>
      <c r="K5297" t="s">
        <v>56</v>
      </c>
      <c r="L5297" t="s">
        <v>12233</v>
      </c>
      <c r="M5297" s="3" t="str">
        <f>HYPERLINK("..\..\Imagery\ScannedPhotos\1998\CG98-128.2.jpg")</f>
        <v>..\..\Imagery\ScannedPhotos\1998\CG98-128.2.jpg</v>
      </c>
    </row>
    <row r="5298" spans="1:13" x14ac:dyDescent="0.25">
      <c r="A5298" t="s">
        <v>12234</v>
      </c>
      <c r="B5298">
        <v>309481</v>
      </c>
      <c r="C5298">
        <v>5866015</v>
      </c>
      <c r="D5298">
        <v>21</v>
      </c>
      <c r="E5298" t="s">
        <v>15</v>
      </c>
      <c r="F5298" t="s">
        <v>12235</v>
      </c>
      <c r="G5298">
        <v>1</v>
      </c>
      <c r="H5298" t="s">
        <v>259</v>
      </c>
      <c r="I5298" t="s">
        <v>143</v>
      </c>
      <c r="J5298" t="s">
        <v>260</v>
      </c>
      <c r="K5298" t="s">
        <v>56</v>
      </c>
      <c r="L5298" t="s">
        <v>12236</v>
      </c>
      <c r="M5298" s="3" t="str">
        <f>HYPERLINK("..\..\Imagery\ScannedPhotos\1998\CG98-137.jpg")</f>
        <v>..\..\Imagery\ScannedPhotos\1998\CG98-137.jpg</v>
      </c>
    </row>
    <row r="5299" spans="1:13" x14ac:dyDescent="0.25">
      <c r="A5299" t="s">
        <v>12237</v>
      </c>
      <c r="B5299">
        <v>312840</v>
      </c>
      <c r="C5299">
        <v>5821654</v>
      </c>
      <c r="D5299">
        <v>21</v>
      </c>
      <c r="E5299" t="s">
        <v>15</v>
      </c>
      <c r="F5299" t="s">
        <v>12238</v>
      </c>
      <c r="G5299">
        <v>2</v>
      </c>
      <c r="H5299" t="s">
        <v>5833</v>
      </c>
      <c r="I5299" t="s">
        <v>108</v>
      </c>
      <c r="J5299" t="s">
        <v>260</v>
      </c>
      <c r="K5299" t="s">
        <v>20</v>
      </c>
      <c r="L5299" t="s">
        <v>12239</v>
      </c>
      <c r="M5299" s="3" t="str">
        <f>HYPERLINK("..\..\Imagery\ScannedPhotos\1998\CG98-292.1.jpg")</f>
        <v>..\..\Imagery\ScannedPhotos\1998\CG98-292.1.jpg</v>
      </c>
    </row>
    <row r="5300" spans="1:13" x14ac:dyDescent="0.25">
      <c r="A5300" t="s">
        <v>12240</v>
      </c>
      <c r="B5300">
        <v>330604</v>
      </c>
      <c r="C5300">
        <v>5820859</v>
      </c>
      <c r="D5300">
        <v>21</v>
      </c>
      <c r="E5300" t="s">
        <v>15</v>
      </c>
      <c r="F5300" t="s">
        <v>12241</v>
      </c>
      <c r="G5300">
        <v>1</v>
      </c>
      <c r="H5300" t="s">
        <v>5833</v>
      </c>
      <c r="I5300" t="s">
        <v>129</v>
      </c>
      <c r="J5300" t="s">
        <v>260</v>
      </c>
      <c r="K5300" t="s">
        <v>20</v>
      </c>
      <c r="L5300" t="s">
        <v>12242</v>
      </c>
      <c r="M5300" s="3" t="str">
        <f>HYPERLINK("..\..\Imagery\ScannedPhotos\1998\CG98-297.jpg")</f>
        <v>..\..\Imagery\ScannedPhotos\1998\CG98-297.jpg</v>
      </c>
    </row>
    <row r="5301" spans="1:13" x14ac:dyDescent="0.25">
      <c r="A5301" t="s">
        <v>12243</v>
      </c>
      <c r="B5301">
        <v>333310</v>
      </c>
      <c r="C5301">
        <v>5835479</v>
      </c>
      <c r="D5301">
        <v>21</v>
      </c>
      <c r="E5301" t="s">
        <v>15</v>
      </c>
      <c r="F5301" t="s">
        <v>12244</v>
      </c>
      <c r="G5301">
        <v>4</v>
      </c>
      <c r="H5301" t="s">
        <v>7363</v>
      </c>
      <c r="I5301" t="s">
        <v>375</v>
      </c>
      <c r="J5301" t="s">
        <v>7364</v>
      </c>
      <c r="K5301" t="s">
        <v>20</v>
      </c>
      <c r="L5301" t="s">
        <v>12245</v>
      </c>
      <c r="M5301" s="3" t="str">
        <f>HYPERLINK("..\..\Imagery\ScannedPhotos\1998\CG98-302.2.jpg")</f>
        <v>..\..\Imagery\ScannedPhotos\1998\CG98-302.2.jpg</v>
      </c>
    </row>
    <row r="5302" spans="1:13" x14ac:dyDescent="0.25">
      <c r="A5302" t="s">
        <v>12243</v>
      </c>
      <c r="B5302">
        <v>333310</v>
      </c>
      <c r="C5302">
        <v>5835479</v>
      </c>
      <c r="D5302">
        <v>21</v>
      </c>
      <c r="E5302" t="s">
        <v>15</v>
      </c>
      <c r="F5302" t="s">
        <v>12246</v>
      </c>
      <c r="G5302">
        <v>4</v>
      </c>
      <c r="H5302" t="s">
        <v>7363</v>
      </c>
      <c r="I5302" t="s">
        <v>85</v>
      </c>
      <c r="J5302" t="s">
        <v>7364</v>
      </c>
      <c r="K5302" t="s">
        <v>20</v>
      </c>
      <c r="L5302" t="s">
        <v>12245</v>
      </c>
      <c r="M5302" s="3" t="str">
        <f>HYPERLINK("..\..\Imagery\ScannedPhotos\1998\CG98-302.1.jpg")</f>
        <v>..\..\Imagery\ScannedPhotos\1998\CG98-302.1.jpg</v>
      </c>
    </row>
    <row r="5303" spans="1:13" x14ac:dyDescent="0.25">
      <c r="A5303" t="s">
        <v>12243</v>
      </c>
      <c r="B5303">
        <v>333310</v>
      </c>
      <c r="C5303">
        <v>5835479</v>
      </c>
      <c r="D5303">
        <v>21</v>
      </c>
      <c r="E5303" t="s">
        <v>15</v>
      </c>
      <c r="F5303" t="s">
        <v>12247</v>
      </c>
      <c r="G5303">
        <v>4</v>
      </c>
      <c r="H5303" t="s">
        <v>12248</v>
      </c>
      <c r="I5303" t="s">
        <v>375</v>
      </c>
      <c r="J5303" t="s">
        <v>7364</v>
      </c>
      <c r="K5303" t="s">
        <v>20</v>
      </c>
      <c r="L5303" t="s">
        <v>12249</v>
      </c>
      <c r="M5303" s="3" t="str">
        <f>HYPERLINK("..\..\Imagery\ScannedPhotos\1998\CG98-302.4.jpg")</f>
        <v>..\..\Imagery\ScannedPhotos\1998\CG98-302.4.jpg</v>
      </c>
    </row>
    <row r="5304" spans="1:13" x14ac:dyDescent="0.25">
      <c r="A5304" t="s">
        <v>12250</v>
      </c>
      <c r="B5304">
        <v>429932</v>
      </c>
      <c r="C5304">
        <v>5767289</v>
      </c>
      <c r="D5304">
        <v>21</v>
      </c>
      <c r="E5304" t="s">
        <v>15</v>
      </c>
      <c r="F5304" t="s">
        <v>12251</v>
      </c>
      <c r="G5304">
        <v>1</v>
      </c>
      <c r="H5304" t="s">
        <v>738</v>
      </c>
      <c r="I5304" t="s">
        <v>79</v>
      </c>
      <c r="J5304" t="s">
        <v>739</v>
      </c>
      <c r="K5304" t="s">
        <v>20</v>
      </c>
      <c r="L5304" t="s">
        <v>12252</v>
      </c>
      <c r="M5304" s="3" t="str">
        <f>HYPERLINK("..\..\Imagery\ScannedPhotos\1999\CG99-002.jpg")</f>
        <v>..\..\Imagery\ScannedPhotos\1999\CG99-002.jpg</v>
      </c>
    </row>
    <row r="5305" spans="1:13" x14ac:dyDescent="0.25">
      <c r="A5305" t="s">
        <v>11770</v>
      </c>
      <c r="B5305">
        <v>431591</v>
      </c>
      <c r="C5305">
        <v>5789516</v>
      </c>
      <c r="D5305">
        <v>21</v>
      </c>
      <c r="E5305" t="s">
        <v>15</v>
      </c>
      <c r="F5305" t="s">
        <v>12253</v>
      </c>
      <c r="G5305">
        <v>2</v>
      </c>
      <c r="H5305" t="s">
        <v>738</v>
      </c>
      <c r="I5305" t="s">
        <v>281</v>
      </c>
      <c r="J5305" t="s">
        <v>739</v>
      </c>
      <c r="K5305" t="s">
        <v>56</v>
      </c>
      <c r="L5305" t="s">
        <v>12254</v>
      </c>
      <c r="M5305" s="3" t="str">
        <f>HYPERLINK("..\..\Imagery\ScannedPhotos\1999\CG99-008.1.jpg")</f>
        <v>..\..\Imagery\ScannedPhotos\1999\CG99-008.1.jpg</v>
      </c>
    </row>
    <row r="5306" spans="1:13" x14ac:dyDescent="0.25">
      <c r="A5306" t="s">
        <v>10386</v>
      </c>
      <c r="B5306">
        <v>579273</v>
      </c>
      <c r="C5306">
        <v>5921868</v>
      </c>
      <c r="D5306">
        <v>21</v>
      </c>
      <c r="E5306" t="s">
        <v>15</v>
      </c>
      <c r="F5306" t="s">
        <v>12255</v>
      </c>
      <c r="G5306">
        <v>4</v>
      </c>
      <c r="H5306" t="s">
        <v>1994</v>
      </c>
      <c r="I5306" t="s">
        <v>52</v>
      </c>
      <c r="J5306" t="s">
        <v>138</v>
      </c>
      <c r="K5306" t="s">
        <v>20</v>
      </c>
      <c r="L5306" t="s">
        <v>12256</v>
      </c>
      <c r="M5306" s="3" t="str">
        <f>HYPERLINK("..\..\Imagery\ScannedPhotos\1985\GM85-597.3.jpg")</f>
        <v>..\..\Imagery\ScannedPhotos\1985\GM85-597.3.jpg</v>
      </c>
    </row>
    <row r="5307" spans="1:13" x14ac:dyDescent="0.25">
      <c r="A5307" t="s">
        <v>4114</v>
      </c>
      <c r="B5307">
        <v>574550</v>
      </c>
      <c r="C5307">
        <v>5919000</v>
      </c>
      <c r="D5307">
        <v>21</v>
      </c>
      <c r="E5307" t="s">
        <v>15</v>
      </c>
      <c r="F5307" t="s">
        <v>12257</v>
      </c>
      <c r="G5307">
        <v>5</v>
      </c>
      <c r="H5307" t="s">
        <v>1577</v>
      </c>
      <c r="I5307" t="s">
        <v>217</v>
      </c>
      <c r="J5307" t="s">
        <v>1374</v>
      </c>
      <c r="K5307" t="s">
        <v>20</v>
      </c>
      <c r="L5307" t="s">
        <v>4113</v>
      </c>
      <c r="M5307" s="3" t="str">
        <f>HYPERLINK("..\..\Imagery\ScannedPhotos\1985\GM85-633.1.jpg")</f>
        <v>..\..\Imagery\ScannedPhotos\1985\GM85-633.1.jpg</v>
      </c>
    </row>
    <row r="5308" spans="1:13" x14ac:dyDescent="0.25">
      <c r="A5308" t="s">
        <v>4114</v>
      </c>
      <c r="B5308">
        <v>574550</v>
      </c>
      <c r="C5308">
        <v>5919000</v>
      </c>
      <c r="D5308">
        <v>21</v>
      </c>
      <c r="E5308" t="s">
        <v>15</v>
      </c>
      <c r="F5308" t="s">
        <v>12258</v>
      </c>
      <c r="G5308">
        <v>5</v>
      </c>
      <c r="H5308" t="s">
        <v>1577</v>
      </c>
      <c r="I5308" t="s">
        <v>222</v>
      </c>
      <c r="J5308" t="s">
        <v>1374</v>
      </c>
      <c r="K5308" t="s">
        <v>20</v>
      </c>
      <c r="L5308" t="s">
        <v>12259</v>
      </c>
      <c r="M5308" s="3" t="str">
        <f>HYPERLINK("..\..\Imagery\ScannedPhotos\1985\GM85-633.3.jpg")</f>
        <v>..\..\Imagery\ScannedPhotos\1985\GM85-633.3.jpg</v>
      </c>
    </row>
    <row r="5309" spans="1:13" x14ac:dyDescent="0.25">
      <c r="A5309" t="s">
        <v>5358</v>
      </c>
      <c r="B5309">
        <v>578634</v>
      </c>
      <c r="C5309">
        <v>5920832</v>
      </c>
      <c r="D5309">
        <v>21</v>
      </c>
      <c r="E5309" t="s">
        <v>15</v>
      </c>
      <c r="F5309" t="s">
        <v>12260</v>
      </c>
      <c r="G5309">
        <v>7</v>
      </c>
      <c r="H5309" t="s">
        <v>1994</v>
      </c>
      <c r="I5309" t="s">
        <v>647</v>
      </c>
      <c r="J5309" t="s">
        <v>138</v>
      </c>
      <c r="K5309" t="s">
        <v>20</v>
      </c>
      <c r="L5309" t="s">
        <v>5360</v>
      </c>
      <c r="M5309" s="3" t="str">
        <f>HYPERLINK("..\..\Imagery\ScannedPhotos\1985\GM85-592.4.jpg")</f>
        <v>..\..\Imagery\ScannedPhotos\1985\GM85-592.4.jpg</v>
      </c>
    </row>
    <row r="5310" spans="1:13" x14ac:dyDescent="0.25">
      <c r="A5310" t="s">
        <v>10379</v>
      </c>
      <c r="B5310">
        <v>579256</v>
      </c>
      <c r="C5310">
        <v>5920958</v>
      </c>
      <c r="D5310">
        <v>21</v>
      </c>
      <c r="E5310" t="s">
        <v>15</v>
      </c>
      <c r="F5310" t="s">
        <v>12261</v>
      </c>
      <c r="G5310">
        <v>4</v>
      </c>
      <c r="H5310" t="s">
        <v>1994</v>
      </c>
      <c r="I5310" t="s">
        <v>132</v>
      </c>
      <c r="J5310" t="s">
        <v>138</v>
      </c>
      <c r="K5310" t="s">
        <v>20</v>
      </c>
      <c r="L5310" t="s">
        <v>10381</v>
      </c>
      <c r="M5310" s="3" t="str">
        <f>HYPERLINK("..\..\Imagery\ScannedPhotos\1985\GM85-593.4.jpg")</f>
        <v>..\..\Imagery\ScannedPhotos\1985\GM85-593.4.jpg</v>
      </c>
    </row>
    <row r="5311" spans="1:13" x14ac:dyDescent="0.25">
      <c r="A5311" t="s">
        <v>10379</v>
      </c>
      <c r="B5311">
        <v>579256</v>
      </c>
      <c r="C5311">
        <v>5920958</v>
      </c>
      <c r="D5311">
        <v>21</v>
      </c>
      <c r="E5311" t="s">
        <v>15</v>
      </c>
      <c r="F5311" t="s">
        <v>12262</v>
      </c>
      <c r="G5311">
        <v>4</v>
      </c>
      <c r="H5311" t="s">
        <v>1994</v>
      </c>
      <c r="I5311" t="s">
        <v>122</v>
      </c>
      <c r="J5311" t="s">
        <v>138</v>
      </c>
      <c r="K5311" t="s">
        <v>20</v>
      </c>
      <c r="L5311" t="s">
        <v>10381</v>
      </c>
      <c r="M5311" s="3" t="str">
        <f>HYPERLINK("..\..\Imagery\ScannedPhotos\1985\GM85-593.1.jpg")</f>
        <v>..\..\Imagery\ScannedPhotos\1985\GM85-593.1.jpg</v>
      </c>
    </row>
    <row r="5312" spans="1:13" x14ac:dyDescent="0.25">
      <c r="A5312" t="s">
        <v>10379</v>
      </c>
      <c r="B5312">
        <v>579256</v>
      </c>
      <c r="C5312">
        <v>5920958</v>
      </c>
      <c r="D5312">
        <v>21</v>
      </c>
      <c r="E5312" t="s">
        <v>15</v>
      </c>
      <c r="F5312" t="s">
        <v>12263</v>
      </c>
      <c r="G5312">
        <v>4</v>
      </c>
      <c r="H5312" t="s">
        <v>1994</v>
      </c>
      <c r="I5312" t="s">
        <v>108</v>
      </c>
      <c r="J5312" t="s">
        <v>138</v>
      </c>
      <c r="K5312" t="s">
        <v>20</v>
      </c>
      <c r="L5312" t="s">
        <v>10381</v>
      </c>
      <c r="M5312" s="3" t="str">
        <f>HYPERLINK("..\..\Imagery\ScannedPhotos\1985\GM85-593.3.jpg")</f>
        <v>..\..\Imagery\ScannedPhotos\1985\GM85-593.3.jpg</v>
      </c>
    </row>
    <row r="5313" spans="1:13" x14ac:dyDescent="0.25">
      <c r="A5313" t="s">
        <v>12264</v>
      </c>
      <c r="B5313">
        <v>493729</v>
      </c>
      <c r="C5313">
        <v>5788104</v>
      </c>
      <c r="D5313">
        <v>21</v>
      </c>
      <c r="E5313" t="s">
        <v>15</v>
      </c>
      <c r="F5313" t="s">
        <v>12265</v>
      </c>
      <c r="G5313">
        <v>2</v>
      </c>
      <c r="H5313" t="s">
        <v>2344</v>
      </c>
      <c r="I5313" t="s">
        <v>647</v>
      </c>
      <c r="J5313" t="s">
        <v>2341</v>
      </c>
      <c r="K5313" t="s">
        <v>20</v>
      </c>
      <c r="L5313" t="s">
        <v>12266</v>
      </c>
      <c r="M5313" s="3" t="str">
        <f>HYPERLINK("..\..\Imagery\ScannedPhotos\1992\JA92-046.1.jpg")</f>
        <v>..\..\Imagery\ScannedPhotos\1992\JA92-046.1.jpg</v>
      </c>
    </row>
    <row r="5314" spans="1:13" x14ac:dyDescent="0.25">
      <c r="A5314" t="s">
        <v>12264</v>
      </c>
      <c r="B5314">
        <v>493729</v>
      </c>
      <c r="C5314">
        <v>5788104</v>
      </c>
      <c r="D5314">
        <v>21</v>
      </c>
      <c r="E5314" t="s">
        <v>15</v>
      </c>
      <c r="F5314" t="s">
        <v>12267</v>
      </c>
      <c r="G5314">
        <v>2</v>
      </c>
      <c r="H5314" t="s">
        <v>2344</v>
      </c>
      <c r="I5314" t="s">
        <v>30</v>
      </c>
      <c r="J5314" t="s">
        <v>2341</v>
      </c>
      <c r="K5314" t="s">
        <v>20</v>
      </c>
      <c r="L5314" t="s">
        <v>12268</v>
      </c>
      <c r="M5314" s="3" t="str">
        <f>HYPERLINK("..\..\Imagery\ScannedPhotos\1992\JA92-046.2.jpg")</f>
        <v>..\..\Imagery\ScannedPhotos\1992\JA92-046.2.jpg</v>
      </c>
    </row>
    <row r="5315" spans="1:13" x14ac:dyDescent="0.25">
      <c r="A5315" t="s">
        <v>12269</v>
      </c>
      <c r="B5315">
        <v>449600</v>
      </c>
      <c r="C5315">
        <v>5813900</v>
      </c>
      <c r="D5315">
        <v>21</v>
      </c>
      <c r="E5315" t="s">
        <v>15</v>
      </c>
      <c r="F5315" t="s">
        <v>12270</v>
      </c>
      <c r="G5315">
        <v>1</v>
      </c>
      <c r="H5315" t="s">
        <v>2344</v>
      </c>
      <c r="I5315" t="s">
        <v>114</v>
      </c>
      <c r="J5315" t="s">
        <v>2341</v>
      </c>
      <c r="K5315" t="s">
        <v>20</v>
      </c>
      <c r="L5315" t="s">
        <v>7994</v>
      </c>
      <c r="M5315" s="3" t="str">
        <f>HYPERLINK("..\..\Imagery\ScannedPhotos\1992\JA92-051.jpg")</f>
        <v>..\..\Imagery\ScannedPhotos\1992\JA92-051.jpg</v>
      </c>
    </row>
    <row r="5316" spans="1:13" x14ac:dyDescent="0.25">
      <c r="A5316" t="s">
        <v>12271</v>
      </c>
      <c r="B5316">
        <v>449875</v>
      </c>
      <c r="C5316">
        <v>5808100</v>
      </c>
      <c r="D5316">
        <v>21</v>
      </c>
      <c r="E5316" t="s">
        <v>15</v>
      </c>
      <c r="F5316" t="s">
        <v>12272</v>
      </c>
      <c r="G5316">
        <v>2</v>
      </c>
      <c r="H5316" t="s">
        <v>2344</v>
      </c>
      <c r="I5316" t="s">
        <v>122</v>
      </c>
      <c r="J5316" t="s">
        <v>2341</v>
      </c>
      <c r="K5316" t="s">
        <v>20</v>
      </c>
      <c r="L5316" t="s">
        <v>7994</v>
      </c>
      <c r="M5316" s="3" t="str">
        <f>HYPERLINK("..\..\Imagery\ScannedPhotos\1992\JA92-052.2.jpg")</f>
        <v>..\..\Imagery\ScannedPhotos\1992\JA92-052.2.jpg</v>
      </c>
    </row>
    <row r="5317" spans="1:13" x14ac:dyDescent="0.25">
      <c r="A5317" t="s">
        <v>12271</v>
      </c>
      <c r="B5317">
        <v>449875</v>
      </c>
      <c r="C5317">
        <v>5808100</v>
      </c>
      <c r="D5317">
        <v>21</v>
      </c>
      <c r="E5317" t="s">
        <v>15</v>
      </c>
      <c r="F5317" t="s">
        <v>12273</v>
      </c>
      <c r="G5317">
        <v>2</v>
      </c>
      <c r="H5317" t="s">
        <v>2344</v>
      </c>
      <c r="I5317" t="s">
        <v>119</v>
      </c>
      <c r="J5317" t="s">
        <v>2341</v>
      </c>
      <c r="K5317" t="s">
        <v>20</v>
      </c>
      <c r="L5317" t="s">
        <v>7994</v>
      </c>
      <c r="M5317" s="3" t="str">
        <f>HYPERLINK("..\..\Imagery\ScannedPhotos\1992\JA92-052.1.jpg")</f>
        <v>..\..\Imagery\ScannedPhotos\1992\JA92-052.1.jpg</v>
      </c>
    </row>
    <row r="5318" spans="1:13" x14ac:dyDescent="0.25">
      <c r="A5318" t="s">
        <v>8809</v>
      </c>
      <c r="B5318">
        <v>494875</v>
      </c>
      <c r="C5318">
        <v>5820030</v>
      </c>
      <c r="D5318">
        <v>21</v>
      </c>
      <c r="E5318" t="s">
        <v>15</v>
      </c>
      <c r="F5318" t="s">
        <v>12274</v>
      </c>
      <c r="G5318">
        <v>5</v>
      </c>
      <c r="H5318" t="s">
        <v>2719</v>
      </c>
      <c r="I5318" t="s">
        <v>30</v>
      </c>
      <c r="J5318" t="s">
        <v>891</v>
      </c>
      <c r="K5318" t="s">
        <v>20</v>
      </c>
      <c r="L5318" t="s">
        <v>12275</v>
      </c>
      <c r="M5318" s="3" t="str">
        <f>HYPERLINK("..\..\Imagery\ScannedPhotos\1991\VN91-265.2.jpg")</f>
        <v>..\..\Imagery\ScannedPhotos\1991\VN91-265.2.jpg</v>
      </c>
    </row>
    <row r="5319" spans="1:13" x14ac:dyDescent="0.25">
      <c r="A5319" t="s">
        <v>12276</v>
      </c>
      <c r="B5319">
        <v>556949</v>
      </c>
      <c r="C5319">
        <v>5936667</v>
      </c>
      <c r="D5319">
        <v>21</v>
      </c>
      <c r="E5319" t="s">
        <v>15</v>
      </c>
      <c r="F5319" t="s">
        <v>12277</v>
      </c>
      <c r="G5319">
        <v>2</v>
      </c>
      <c r="H5319" t="s">
        <v>824</v>
      </c>
      <c r="I5319" t="s">
        <v>114</v>
      </c>
      <c r="J5319" t="s">
        <v>48</v>
      </c>
      <c r="K5319" t="s">
        <v>20</v>
      </c>
      <c r="L5319" t="s">
        <v>12278</v>
      </c>
      <c r="M5319" s="3" t="str">
        <f>HYPERLINK("..\..\Imagery\ScannedPhotos\1981\VO81-682.2.jpg")</f>
        <v>..\..\Imagery\ScannedPhotos\1981\VO81-682.2.jpg</v>
      </c>
    </row>
    <row r="5320" spans="1:13" x14ac:dyDescent="0.25">
      <c r="A5320" t="s">
        <v>12276</v>
      </c>
      <c r="B5320">
        <v>556949</v>
      </c>
      <c r="C5320">
        <v>5936667</v>
      </c>
      <c r="D5320">
        <v>21</v>
      </c>
      <c r="E5320" t="s">
        <v>15</v>
      </c>
      <c r="F5320" t="s">
        <v>12279</v>
      </c>
      <c r="G5320">
        <v>2</v>
      </c>
      <c r="H5320" t="s">
        <v>824</v>
      </c>
      <c r="I5320" t="s">
        <v>30</v>
      </c>
      <c r="J5320" t="s">
        <v>48</v>
      </c>
      <c r="K5320" t="s">
        <v>20</v>
      </c>
      <c r="L5320" t="s">
        <v>12278</v>
      </c>
      <c r="M5320" s="3" t="str">
        <f>HYPERLINK("..\..\Imagery\ScannedPhotos\1981\VO81-682.1.jpg")</f>
        <v>..\..\Imagery\ScannedPhotos\1981\VO81-682.1.jpg</v>
      </c>
    </row>
    <row r="5321" spans="1:13" x14ac:dyDescent="0.25">
      <c r="A5321" t="s">
        <v>12280</v>
      </c>
      <c r="B5321">
        <v>383698</v>
      </c>
      <c r="C5321">
        <v>6078081</v>
      </c>
      <c r="D5321">
        <v>21</v>
      </c>
      <c r="E5321" t="s">
        <v>15</v>
      </c>
      <c r="F5321" t="s">
        <v>12281</v>
      </c>
      <c r="G5321">
        <v>4</v>
      </c>
      <c r="H5321" t="s">
        <v>2011</v>
      </c>
      <c r="I5321" t="s">
        <v>217</v>
      </c>
      <c r="J5321" t="s">
        <v>1624</v>
      </c>
      <c r="K5321" t="s">
        <v>56</v>
      </c>
      <c r="L5321" t="s">
        <v>12282</v>
      </c>
      <c r="M5321" s="3" t="str">
        <f>HYPERLINK("..\..\Imagery\ScannedPhotos\1978\AL78-147.2.jpg")</f>
        <v>..\..\Imagery\ScannedPhotos\1978\AL78-147.2.jpg</v>
      </c>
    </row>
    <row r="5322" spans="1:13" x14ac:dyDescent="0.25">
      <c r="A5322" t="s">
        <v>12280</v>
      </c>
      <c r="B5322">
        <v>383698</v>
      </c>
      <c r="C5322">
        <v>6078081</v>
      </c>
      <c r="D5322">
        <v>21</v>
      </c>
      <c r="E5322" t="s">
        <v>15</v>
      </c>
      <c r="F5322" t="s">
        <v>12283</v>
      </c>
      <c r="G5322">
        <v>4</v>
      </c>
      <c r="H5322" t="s">
        <v>2011</v>
      </c>
      <c r="I5322" t="s">
        <v>386</v>
      </c>
      <c r="J5322" t="s">
        <v>1624</v>
      </c>
      <c r="K5322" t="s">
        <v>20</v>
      </c>
      <c r="L5322" t="s">
        <v>12284</v>
      </c>
      <c r="M5322" s="3" t="str">
        <f>HYPERLINK("..\..\Imagery\ScannedPhotos\1978\AL78-147.1.jpg")</f>
        <v>..\..\Imagery\ScannedPhotos\1978\AL78-147.1.jpg</v>
      </c>
    </row>
    <row r="5323" spans="1:13" x14ac:dyDescent="0.25">
      <c r="A5323" t="s">
        <v>12280</v>
      </c>
      <c r="B5323">
        <v>383698</v>
      </c>
      <c r="C5323">
        <v>6078081</v>
      </c>
      <c r="D5323">
        <v>21</v>
      </c>
      <c r="E5323" t="s">
        <v>15</v>
      </c>
      <c r="F5323" t="s">
        <v>12285</v>
      </c>
      <c r="G5323">
        <v>4</v>
      </c>
      <c r="H5323" t="s">
        <v>2011</v>
      </c>
      <c r="I5323" t="s">
        <v>214</v>
      </c>
      <c r="J5323" t="s">
        <v>1624</v>
      </c>
      <c r="K5323" t="s">
        <v>56</v>
      </c>
      <c r="L5323" t="s">
        <v>12286</v>
      </c>
      <c r="M5323" s="3" t="str">
        <f>HYPERLINK("..\..\Imagery\ScannedPhotos\1978\AL78-147.3.jpg")</f>
        <v>..\..\Imagery\ScannedPhotos\1978\AL78-147.3.jpg</v>
      </c>
    </row>
    <row r="5324" spans="1:13" x14ac:dyDescent="0.25">
      <c r="A5324" t="s">
        <v>12280</v>
      </c>
      <c r="B5324">
        <v>383698</v>
      </c>
      <c r="C5324">
        <v>6078081</v>
      </c>
      <c r="D5324">
        <v>21</v>
      </c>
      <c r="E5324" t="s">
        <v>15</v>
      </c>
      <c r="F5324" t="s">
        <v>12287</v>
      </c>
      <c r="G5324">
        <v>4</v>
      </c>
      <c r="H5324" t="s">
        <v>2011</v>
      </c>
      <c r="I5324" t="s">
        <v>222</v>
      </c>
      <c r="J5324" t="s">
        <v>1624</v>
      </c>
      <c r="K5324" t="s">
        <v>20</v>
      </c>
      <c r="L5324" t="s">
        <v>12288</v>
      </c>
      <c r="M5324" s="3" t="str">
        <f>HYPERLINK("..\..\Imagery\ScannedPhotos\1978\AL78-147.4.jpg")</f>
        <v>..\..\Imagery\ScannedPhotos\1978\AL78-147.4.jpg</v>
      </c>
    </row>
    <row r="5325" spans="1:13" x14ac:dyDescent="0.25">
      <c r="A5325" t="s">
        <v>12289</v>
      </c>
      <c r="B5325">
        <v>386075</v>
      </c>
      <c r="C5325">
        <v>6077699</v>
      </c>
      <c r="D5325">
        <v>21</v>
      </c>
      <c r="E5325" t="s">
        <v>15</v>
      </c>
      <c r="F5325" t="s">
        <v>12290</v>
      </c>
      <c r="G5325">
        <v>1</v>
      </c>
      <c r="H5325" t="s">
        <v>2011</v>
      </c>
      <c r="I5325" t="s">
        <v>418</v>
      </c>
      <c r="J5325" t="s">
        <v>1624</v>
      </c>
      <c r="K5325" t="s">
        <v>56</v>
      </c>
      <c r="L5325" t="s">
        <v>12291</v>
      </c>
      <c r="M5325" s="3" t="str">
        <f>HYPERLINK("..\..\Imagery\ScannedPhotos\1978\AL78-150.jpg")</f>
        <v>..\..\Imagery\ScannedPhotos\1978\AL78-150.jpg</v>
      </c>
    </row>
    <row r="5326" spans="1:13" x14ac:dyDescent="0.25">
      <c r="A5326" t="s">
        <v>12292</v>
      </c>
      <c r="B5326">
        <v>386211</v>
      </c>
      <c r="C5326">
        <v>6076814</v>
      </c>
      <c r="D5326">
        <v>21</v>
      </c>
      <c r="E5326" t="s">
        <v>15</v>
      </c>
      <c r="F5326" t="s">
        <v>12293</v>
      </c>
      <c r="G5326">
        <v>3</v>
      </c>
      <c r="H5326" t="s">
        <v>2011</v>
      </c>
      <c r="I5326" t="s">
        <v>195</v>
      </c>
      <c r="J5326" t="s">
        <v>1624</v>
      </c>
      <c r="K5326" t="s">
        <v>56</v>
      </c>
      <c r="L5326" t="s">
        <v>12294</v>
      </c>
      <c r="M5326" s="3" t="str">
        <f>HYPERLINK("..\..\Imagery\ScannedPhotos\1978\AL78-153.2.jpg")</f>
        <v>..\..\Imagery\ScannedPhotos\1978\AL78-153.2.jpg</v>
      </c>
    </row>
    <row r="5327" spans="1:13" x14ac:dyDescent="0.25">
      <c r="A5327" t="s">
        <v>12292</v>
      </c>
      <c r="B5327">
        <v>386211</v>
      </c>
      <c r="C5327">
        <v>6076814</v>
      </c>
      <c r="D5327">
        <v>21</v>
      </c>
      <c r="E5327" t="s">
        <v>15</v>
      </c>
      <c r="F5327" t="s">
        <v>12295</v>
      </c>
      <c r="G5327">
        <v>3</v>
      </c>
      <c r="H5327" t="s">
        <v>2011</v>
      </c>
      <c r="I5327" t="s">
        <v>304</v>
      </c>
      <c r="J5327" t="s">
        <v>1624</v>
      </c>
      <c r="K5327" t="s">
        <v>20</v>
      </c>
      <c r="L5327" t="s">
        <v>12296</v>
      </c>
      <c r="M5327" s="3" t="str">
        <f>HYPERLINK("..\..\Imagery\ScannedPhotos\1978\AL78-153.1.jpg")</f>
        <v>..\..\Imagery\ScannedPhotos\1978\AL78-153.1.jpg</v>
      </c>
    </row>
    <row r="5328" spans="1:13" x14ac:dyDescent="0.25">
      <c r="A5328" t="s">
        <v>12297</v>
      </c>
      <c r="B5328">
        <v>376509</v>
      </c>
      <c r="C5328">
        <v>6077152</v>
      </c>
      <c r="D5328">
        <v>21</v>
      </c>
      <c r="E5328" t="s">
        <v>15</v>
      </c>
      <c r="F5328" t="s">
        <v>12298</v>
      </c>
      <c r="G5328">
        <v>1</v>
      </c>
      <c r="H5328" t="s">
        <v>2011</v>
      </c>
      <c r="I5328" t="s">
        <v>360</v>
      </c>
      <c r="J5328" t="s">
        <v>1624</v>
      </c>
      <c r="K5328" t="s">
        <v>20</v>
      </c>
      <c r="L5328" t="s">
        <v>12299</v>
      </c>
      <c r="M5328" s="3" t="str">
        <f>HYPERLINK("..\..\Imagery\ScannedPhotos\1978\AL78-166.jpg")</f>
        <v>..\..\Imagery\ScannedPhotos\1978\AL78-166.jpg</v>
      </c>
    </row>
    <row r="5329" spans="1:13" x14ac:dyDescent="0.25">
      <c r="A5329" t="s">
        <v>12300</v>
      </c>
      <c r="B5329">
        <v>377548</v>
      </c>
      <c r="C5329">
        <v>6075858</v>
      </c>
      <c r="D5329">
        <v>21</v>
      </c>
      <c r="E5329" t="s">
        <v>15</v>
      </c>
      <c r="F5329" t="s">
        <v>12301</v>
      </c>
      <c r="G5329">
        <v>1</v>
      </c>
      <c r="H5329" t="s">
        <v>2011</v>
      </c>
      <c r="I5329" t="s">
        <v>647</v>
      </c>
      <c r="J5329" t="s">
        <v>1624</v>
      </c>
      <c r="K5329" t="s">
        <v>56</v>
      </c>
      <c r="L5329" t="s">
        <v>12302</v>
      </c>
      <c r="M5329" s="3" t="str">
        <f>HYPERLINK("..\..\Imagery\ScannedPhotos\1978\AL78-168.jpg")</f>
        <v>..\..\Imagery\ScannedPhotos\1978\AL78-168.jpg</v>
      </c>
    </row>
    <row r="5330" spans="1:13" x14ac:dyDescent="0.25">
      <c r="A5330" t="s">
        <v>12303</v>
      </c>
      <c r="B5330">
        <v>370265</v>
      </c>
      <c r="C5330">
        <v>6074580</v>
      </c>
      <c r="D5330">
        <v>21</v>
      </c>
      <c r="E5330" t="s">
        <v>15</v>
      </c>
      <c r="F5330" t="s">
        <v>12304</v>
      </c>
      <c r="G5330">
        <v>1</v>
      </c>
      <c r="H5330" t="s">
        <v>2011</v>
      </c>
      <c r="I5330" t="s">
        <v>30</v>
      </c>
      <c r="J5330" t="s">
        <v>1624</v>
      </c>
      <c r="K5330" t="s">
        <v>56</v>
      </c>
      <c r="L5330" t="s">
        <v>12305</v>
      </c>
      <c r="M5330" s="3" t="str">
        <f>HYPERLINK("..\..\Imagery\ScannedPhotos\1978\AL78-183.jpg")</f>
        <v>..\..\Imagery\ScannedPhotos\1978\AL78-183.jpg</v>
      </c>
    </row>
    <row r="5331" spans="1:13" x14ac:dyDescent="0.25">
      <c r="A5331" t="s">
        <v>2977</v>
      </c>
      <c r="B5331">
        <v>596731</v>
      </c>
      <c r="C5331">
        <v>5792348</v>
      </c>
      <c r="D5331">
        <v>21</v>
      </c>
      <c r="E5331" t="s">
        <v>15</v>
      </c>
      <c r="F5331" t="s">
        <v>12306</v>
      </c>
      <c r="G5331">
        <v>3</v>
      </c>
      <c r="K5331" t="s">
        <v>20</v>
      </c>
      <c r="L5331" t="s">
        <v>12307</v>
      </c>
      <c r="M5331" s="3" t="str">
        <f>HYPERLINK("..\..\Imagery\ScannedPhotos\2007\CG07-172.3.jpg")</f>
        <v>..\..\Imagery\ScannedPhotos\2007\CG07-172.3.jpg</v>
      </c>
    </row>
    <row r="5332" spans="1:13" x14ac:dyDescent="0.25">
      <c r="A5332" t="s">
        <v>10538</v>
      </c>
      <c r="B5332">
        <v>326363</v>
      </c>
      <c r="C5332">
        <v>5997300</v>
      </c>
      <c r="D5332">
        <v>21</v>
      </c>
      <c r="E5332" t="s">
        <v>15</v>
      </c>
      <c r="F5332" t="s">
        <v>12308</v>
      </c>
      <c r="G5332">
        <v>3</v>
      </c>
      <c r="H5332" t="s">
        <v>268</v>
      </c>
      <c r="I5332" t="s">
        <v>41</v>
      </c>
      <c r="J5332" t="s">
        <v>269</v>
      </c>
      <c r="K5332" t="s">
        <v>20</v>
      </c>
      <c r="L5332" t="s">
        <v>10540</v>
      </c>
      <c r="M5332" s="3" t="str">
        <f>HYPERLINK("..\..\Imagery\ScannedPhotos\1983\CG83-411.1.jpg")</f>
        <v>..\..\Imagery\ScannedPhotos\1983\CG83-411.1.jpg</v>
      </c>
    </row>
    <row r="5333" spans="1:13" x14ac:dyDescent="0.25">
      <c r="A5333" t="s">
        <v>9738</v>
      </c>
      <c r="B5333">
        <v>330070</v>
      </c>
      <c r="C5333">
        <v>5989208</v>
      </c>
      <c r="D5333">
        <v>21</v>
      </c>
      <c r="E5333" t="s">
        <v>15</v>
      </c>
      <c r="F5333" t="s">
        <v>12309</v>
      </c>
      <c r="G5333">
        <v>4</v>
      </c>
      <c r="H5333" t="s">
        <v>268</v>
      </c>
      <c r="I5333" t="s">
        <v>217</v>
      </c>
      <c r="J5333" t="s">
        <v>269</v>
      </c>
      <c r="K5333" t="s">
        <v>109</v>
      </c>
      <c r="L5333" t="s">
        <v>12310</v>
      </c>
      <c r="M5333" s="3" t="str">
        <f>HYPERLINK("..\..\Imagery\ScannedPhotos\1983\CG83-450.4.jpg")</f>
        <v>..\..\Imagery\ScannedPhotos\1983\CG83-450.4.jpg</v>
      </c>
    </row>
    <row r="5334" spans="1:13" x14ac:dyDescent="0.25">
      <c r="A5334" t="s">
        <v>9738</v>
      </c>
      <c r="B5334">
        <v>330070</v>
      </c>
      <c r="C5334">
        <v>5989208</v>
      </c>
      <c r="D5334">
        <v>21</v>
      </c>
      <c r="E5334" t="s">
        <v>15</v>
      </c>
      <c r="F5334" t="s">
        <v>12311</v>
      </c>
      <c r="G5334">
        <v>4</v>
      </c>
      <c r="H5334" t="s">
        <v>268</v>
      </c>
      <c r="I5334" t="s">
        <v>94</v>
      </c>
      <c r="J5334" t="s">
        <v>269</v>
      </c>
      <c r="K5334" t="s">
        <v>20</v>
      </c>
      <c r="L5334" t="s">
        <v>1020</v>
      </c>
      <c r="M5334" s="3" t="str">
        <f>HYPERLINK("..\..\Imagery\ScannedPhotos\1983\CG83-450.1.jpg")</f>
        <v>..\..\Imagery\ScannedPhotos\1983\CG83-450.1.jpg</v>
      </c>
    </row>
    <row r="5335" spans="1:13" x14ac:dyDescent="0.25">
      <c r="A5335" t="s">
        <v>12312</v>
      </c>
      <c r="B5335">
        <v>537906</v>
      </c>
      <c r="C5335">
        <v>5803920</v>
      </c>
      <c r="D5335">
        <v>21</v>
      </c>
      <c r="E5335" t="s">
        <v>15</v>
      </c>
      <c r="F5335" t="s">
        <v>12313</v>
      </c>
      <c r="G5335">
        <v>1</v>
      </c>
      <c r="H5335" t="s">
        <v>796</v>
      </c>
      <c r="I5335" t="s">
        <v>386</v>
      </c>
      <c r="J5335" t="s">
        <v>797</v>
      </c>
      <c r="K5335" t="s">
        <v>20</v>
      </c>
      <c r="L5335" t="s">
        <v>7946</v>
      </c>
      <c r="M5335" s="3" t="str">
        <f>HYPERLINK("..\..\Imagery\ScannedPhotos\1987\JS87-081.jpg")</f>
        <v>..\..\Imagery\ScannedPhotos\1987\JS87-081.jpg</v>
      </c>
    </row>
    <row r="5336" spans="1:13" x14ac:dyDescent="0.25">
      <c r="A5336" t="s">
        <v>6428</v>
      </c>
      <c r="B5336">
        <v>439580</v>
      </c>
      <c r="C5336">
        <v>5776216</v>
      </c>
      <c r="D5336">
        <v>21</v>
      </c>
      <c r="E5336" t="s">
        <v>15</v>
      </c>
      <c r="F5336" t="s">
        <v>12314</v>
      </c>
      <c r="G5336">
        <v>2</v>
      </c>
      <c r="H5336" t="s">
        <v>2563</v>
      </c>
      <c r="I5336" t="s">
        <v>209</v>
      </c>
      <c r="J5336" t="s">
        <v>905</v>
      </c>
      <c r="K5336" t="s">
        <v>20</v>
      </c>
      <c r="L5336" t="s">
        <v>6430</v>
      </c>
      <c r="M5336" s="3" t="str">
        <f>HYPERLINK("..\..\Imagery\ScannedPhotos\1992\JA92-121.2.jpg")</f>
        <v>..\..\Imagery\ScannedPhotos\1992\JA92-121.2.jpg</v>
      </c>
    </row>
    <row r="5337" spans="1:13" x14ac:dyDescent="0.25">
      <c r="A5337" t="s">
        <v>12315</v>
      </c>
      <c r="B5337">
        <v>439668</v>
      </c>
      <c r="C5337">
        <v>5776054</v>
      </c>
      <c r="D5337">
        <v>21</v>
      </c>
      <c r="E5337" t="s">
        <v>15</v>
      </c>
      <c r="F5337" t="s">
        <v>12316</v>
      </c>
      <c r="G5337">
        <v>2</v>
      </c>
      <c r="H5337" t="s">
        <v>2563</v>
      </c>
      <c r="I5337" t="s">
        <v>217</v>
      </c>
      <c r="J5337" t="s">
        <v>905</v>
      </c>
      <c r="K5337" t="s">
        <v>56</v>
      </c>
      <c r="L5337" t="s">
        <v>12317</v>
      </c>
      <c r="M5337" s="3" t="str">
        <f>HYPERLINK("..\..\Imagery\ScannedPhotos\1992\JA92-122.2.jpg")</f>
        <v>..\..\Imagery\ScannedPhotos\1992\JA92-122.2.jpg</v>
      </c>
    </row>
    <row r="5338" spans="1:13" x14ac:dyDescent="0.25">
      <c r="A5338" t="s">
        <v>12318</v>
      </c>
      <c r="B5338">
        <v>451731</v>
      </c>
      <c r="C5338">
        <v>6006422</v>
      </c>
      <c r="D5338">
        <v>21</v>
      </c>
      <c r="E5338" t="s">
        <v>15</v>
      </c>
      <c r="F5338" t="s">
        <v>12319</v>
      </c>
      <c r="G5338">
        <v>2</v>
      </c>
      <c r="H5338" t="s">
        <v>1636</v>
      </c>
      <c r="I5338" t="s">
        <v>69</v>
      </c>
      <c r="J5338" t="s">
        <v>652</v>
      </c>
      <c r="K5338" t="s">
        <v>935</v>
      </c>
      <c r="L5338" t="s">
        <v>12320</v>
      </c>
      <c r="M5338" s="3" t="str">
        <f>HYPERLINK("..\..\Imagery\ScannedPhotos\1980\CG80-297.2.jpg")</f>
        <v>..\..\Imagery\ScannedPhotos\1980\CG80-297.2.jpg</v>
      </c>
    </row>
    <row r="5339" spans="1:13" x14ac:dyDescent="0.25">
      <c r="A5339" t="s">
        <v>12318</v>
      </c>
      <c r="B5339">
        <v>451731</v>
      </c>
      <c r="C5339">
        <v>6006422</v>
      </c>
      <c r="D5339">
        <v>21</v>
      </c>
      <c r="E5339" t="s">
        <v>15</v>
      </c>
      <c r="F5339" t="s">
        <v>12321</v>
      </c>
      <c r="G5339">
        <v>2</v>
      </c>
      <c r="H5339" t="s">
        <v>1636</v>
      </c>
      <c r="I5339" t="s">
        <v>35</v>
      </c>
      <c r="J5339" t="s">
        <v>652</v>
      </c>
      <c r="K5339" t="s">
        <v>20</v>
      </c>
      <c r="L5339" t="s">
        <v>12322</v>
      </c>
      <c r="M5339" s="3" t="str">
        <f>HYPERLINK("..\..\Imagery\ScannedPhotos\1980\CG80-297.1.jpg")</f>
        <v>..\..\Imagery\ScannedPhotos\1980\CG80-297.1.jpg</v>
      </c>
    </row>
    <row r="5340" spans="1:13" x14ac:dyDescent="0.25">
      <c r="A5340" t="s">
        <v>12323</v>
      </c>
      <c r="B5340">
        <v>452643</v>
      </c>
      <c r="C5340">
        <v>6007329</v>
      </c>
      <c r="D5340">
        <v>21</v>
      </c>
      <c r="E5340" t="s">
        <v>15</v>
      </c>
      <c r="F5340" t="s">
        <v>12324</v>
      </c>
      <c r="G5340">
        <v>1</v>
      </c>
      <c r="H5340" t="s">
        <v>1636</v>
      </c>
      <c r="I5340" t="s">
        <v>74</v>
      </c>
      <c r="J5340" t="s">
        <v>652</v>
      </c>
      <c r="K5340" t="s">
        <v>20</v>
      </c>
      <c r="L5340" t="s">
        <v>12325</v>
      </c>
      <c r="M5340" s="3" t="str">
        <f>HYPERLINK("..\..\Imagery\ScannedPhotos\1980\CG80-302.jpg")</f>
        <v>..\..\Imagery\ScannedPhotos\1980\CG80-302.jpg</v>
      </c>
    </row>
    <row r="5341" spans="1:13" x14ac:dyDescent="0.25">
      <c r="A5341" t="s">
        <v>3153</v>
      </c>
      <c r="B5341">
        <v>448012</v>
      </c>
      <c r="C5341">
        <v>6023689</v>
      </c>
      <c r="D5341">
        <v>21</v>
      </c>
      <c r="E5341" t="s">
        <v>15</v>
      </c>
      <c r="F5341" t="s">
        <v>12326</v>
      </c>
      <c r="G5341">
        <v>4</v>
      </c>
      <c r="H5341" t="s">
        <v>1862</v>
      </c>
      <c r="I5341" t="s">
        <v>647</v>
      </c>
      <c r="J5341" t="s">
        <v>1863</v>
      </c>
      <c r="K5341" t="s">
        <v>20</v>
      </c>
      <c r="L5341" t="s">
        <v>12327</v>
      </c>
      <c r="M5341" s="3" t="str">
        <f>HYPERLINK("..\..\Imagery\ScannedPhotos\1979\CG79-797.1.jpg")</f>
        <v>..\..\Imagery\ScannedPhotos\1979\CG79-797.1.jpg</v>
      </c>
    </row>
    <row r="5342" spans="1:13" x14ac:dyDescent="0.25">
      <c r="A5342" t="s">
        <v>12328</v>
      </c>
      <c r="B5342">
        <v>505176</v>
      </c>
      <c r="C5342">
        <v>5722664</v>
      </c>
      <c r="D5342">
        <v>21</v>
      </c>
      <c r="E5342" t="s">
        <v>15</v>
      </c>
      <c r="F5342" t="s">
        <v>12329</v>
      </c>
      <c r="G5342">
        <v>1</v>
      </c>
      <c r="H5342" t="s">
        <v>7220</v>
      </c>
      <c r="I5342" t="s">
        <v>214</v>
      </c>
      <c r="J5342" t="s">
        <v>1738</v>
      </c>
      <c r="K5342" t="s">
        <v>56</v>
      </c>
      <c r="L5342" t="s">
        <v>12330</v>
      </c>
      <c r="M5342" s="3" t="str">
        <f>HYPERLINK("..\..\Imagery\ScannedPhotos\1993\CG93-390.jpg")</f>
        <v>..\..\Imagery\ScannedPhotos\1993\CG93-390.jpg</v>
      </c>
    </row>
    <row r="5343" spans="1:13" x14ac:dyDescent="0.25">
      <c r="A5343" t="s">
        <v>12331</v>
      </c>
      <c r="B5343">
        <v>502500</v>
      </c>
      <c r="C5343">
        <v>5720050</v>
      </c>
      <c r="D5343">
        <v>21</v>
      </c>
      <c r="E5343" t="s">
        <v>15</v>
      </c>
      <c r="F5343" t="s">
        <v>12332</v>
      </c>
      <c r="G5343">
        <v>1</v>
      </c>
      <c r="H5343" t="s">
        <v>7220</v>
      </c>
      <c r="I5343" t="s">
        <v>222</v>
      </c>
      <c r="J5343" t="s">
        <v>1738</v>
      </c>
      <c r="K5343" t="s">
        <v>20</v>
      </c>
      <c r="L5343" t="s">
        <v>12333</v>
      </c>
      <c r="M5343" s="3" t="str">
        <f>HYPERLINK("..\..\Imagery\ScannedPhotos\1993\CG93-395.jpg")</f>
        <v>..\..\Imagery\ScannedPhotos\1993\CG93-395.jpg</v>
      </c>
    </row>
    <row r="5344" spans="1:13" x14ac:dyDescent="0.25">
      <c r="A5344" t="s">
        <v>12334</v>
      </c>
      <c r="B5344">
        <v>556294</v>
      </c>
      <c r="C5344">
        <v>5740500</v>
      </c>
      <c r="D5344">
        <v>21</v>
      </c>
      <c r="E5344" t="s">
        <v>15</v>
      </c>
      <c r="F5344" t="s">
        <v>12335</v>
      </c>
      <c r="G5344">
        <v>2</v>
      </c>
      <c r="H5344" t="s">
        <v>7220</v>
      </c>
      <c r="I5344" t="s">
        <v>304</v>
      </c>
      <c r="J5344" t="s">
        <v>1738</v>
      </c>
      <c r="K5344" t="s">
        <v>56</v>
      </c>
      <c r="L5344" t="s">
        <v>12336</v>
      </c>
      <c r="M5344" s="3" t="str">
        <f>HYPERLINK("..\..\Imagery\ScannedPhotos\1993\CG93-406.2.jpg")</f>
        <v>..\..\Imagery\ScannedPhotos\1993\CG93-406.2.jpg</v>
      </c>
    </row>
    <row r="5345" spans="1:13" x14ac:dyDescent="0.25">
      <c r="A5345" t="s">
        <v>12334</v>
      </c>
      <c r="B5345">
        <v>556294</v>
      </c>
      <c r="C5345">
        <v>5740500</v>
      </c>
      <c r="D5345">
        <v>21</v>
      </c>
      <c r="E5345" t="s">
        <v>15</v>
      </c>
      <c r="F5345" t="s">
        <v>12337</v>
      </c>
      <c r="G5345">
        <v>2</v>
      </c>
      <c r="H5345" t="s">
        <v>7220</v>
      </c>
      <c r="I5345" t="s">
        <v>418</v>
      </c>
      <c r="J5345" t="s">
        <v>1738</v>
      </c>
      <c r="K5345" t="s">
        <v>56</v>
      </c>
      <c r="L5345" t="s">
        <v>12338</v>
      </c>
      <c r="M5345" s="3" t="str">
        <f>HYPERLINK("..\..\Imagery\ScannedPhotos\1993\CG93-406.1.jpg")</f>
        <v>..\..\Imagery\ScannedPhotos\1993\CG93-406.1.jpg</v>
      </c>
    </row>
    <row r="5346" spans="1:13" x14ac:dyDescent="0.25">
      <c r="A5346" t="s">
        <v>12339</v>
      </c>
      <c r="B5346">
        <v>542795</v>
      </c>
      <c r="C5346">
        <v>5733113</v>
      </c>
      <c r="D5346">
        <v>21</v>
      </c>
      <c r="E5346" t="s">
        <v>15</v>
      </c>
      <c r="F5346" t="s">
        <v>12340</v>
      </c>
      <c r="G5346">
        <v>1</v>
      </c>
      <c r="H5346" t="s">
        <v>2355</v>
      </c>
      <c r="I5346" t="s">
        <v>122</v>
      </c>
      <c r="J5346" t="s">
        <v>886</v>
      </c>
      <c r="K5346" t="s">
        <v>20</v>
      </c>
      <c r="L5346" t="s">
        <v>4707</v>
      </c>
      <c r="M5346" s="3" t="str">
        <f>HYPERLINK("..\..\Imagery\ScannedPhotos\1993\VN93-080.jpg")</f>
        <v>..\..\Imagery\ScannedPhotos\1993\VN93-080.jpg</v>
      </c>
    </row>
    <row r="5347" spans="1:13" x14ac:dyDescent="0.25">
      <c r="A5347" t="s">
        <v>12341</v>
      </c>
      <c r="B5347">
        <v>542241</v>
      </c>
      <c r="C5347">
        <v>5733023</v>
      </c>
      <c r="D5347">
        <v>21</v>
      </c>
      <c r="E5347" t="s">
        <v>15</v>
      </c>
      <c r="F5347" t="s">
        <v>12342</v>
      </c>
      <c r="G5347">
        <v>2</v>
      </c>
      <c r="H5347" t="s">
        <v>2355</v>
      </c>
      <c r="I5347" t="s">
        <v>126</v>
      </c>
      <c r="J5347" t="s">
        <v>886</v>
      </c>
      <c r="K5347" t="s">
        <v>56</v>
      </c>
      <c r="L5347" t="s">
        <v>6870</v>
      </c>
      <c r="M5347" s="3" t="str">
        <f>HYPERLINK("..\..\Imagery\ScannedPhotos\1993\VN93-081.1.jpg")</f>
        <v>..\..\Imagery\ScannedPhotos\1993\VN93-081.1.jpg</v>
      </c>
    </row>
    <row r="5348" spans="1:13" x14ac:dyDescent="0.25">
      <c r="A5348" t="s">
        <v>12341</v>
      </c>
      <c r="B5348">
        <v>542241</v>
      </c>
      <c r="C5348">
        <v>5733023</v>
      </c>
      <c r="D5348">
        <v>21</v>
      </c>
      <c r="E5348" t="s">
        <v>15</v>
      </c>
      <c r="F5348" t="s">
        <v>12343</v>
      </c>
      <c r="G5348">
        <v>2</v>
      </c>
      <c r="H5348" t="s">
        <v>2355</v>
      </c>
      <c r="I5348" t="s">
        <v>108</v>
      </c>
      <c r="J5348" t="s">
        <v>886</v>
      </c>
      <c r="K5348" t="s">
        <v>56</v>
      </c>
      <c r="L5348" t="s">
        <v>6870</v>
      </c>
      <c r="M5348" s="3" t="str">
        <f>HYPERLINK("..\..\Imagery\ScannedPhotos\1993\VN93-081.2.jpg")</f>
        <v>..\..\Imagery\ScannedPhotos\1993\VN93-081.2.jpg</v>
      </c>
    </row>
    <row r="5349" spans="1:13" x14ac:dyDescent="0.25">
      <c r="A5349" t="s">
        <v>8804</v>
      </c>
      <c r="B5349">
        <v>537980</v>
      </c>
      <c r="C5349">
        <v>5729052</v>
      </c>
      <c r="D5349">
        <v>21</v>
      </c>
      <c r="E5349" t="s">
        <v>15</v>
      </c>
      <c r="F5349" t="s">
        <v>12344</v>
      </c>
      <c r="G5349">
        <v>2</v>
      </c>
      <c r="H5349" t="s">
        <v>2355</v>
      </c>
      <c r="I5349" t="s">
        <v>132</v>
      </c>
      <c r="J5349" t="s">
        <v>886</v>
      </c>
      <c r="K5349" t="s">
        <v>20</v>
      </c>
      <c r="L5349" t="s">
        <v>12345</v>
      </c>
      <c r="M5349" s="3" t="str">
        <f>HYPERLINK("..\..\Imagery\ScannedPhotos\1993\VN93-091.1.jpg")</f>
        <v>..\..\Imagery\ScannedPhotos\1993\VN93-091.1.jpg</v>
      </c>
    </row>
    <row r="5350" spans="1:13" x14ac:dyDescent="0.25">
      <c r="A5350" t="s">
        <v>10171</v>
      </c>
      <c r="B5350">
        <v>592948</v>
      </c>
      <c r="C5350">
        <v>5785231</v>
      </c>
      <c r="D5350">
        <v>21</v>
      </c>
      <c r="E5350" t="s">
        <v>15</v>
      </c>
      <c r="F5350" t="s">
        <v>12346</v>
      </c>
      <c r="G5350">
        <v>9</v>
      </c>
      <c r="H5350" t="s">
        <v>17</v>
      </c>
      <c r="I5350" t="s">
        <v>222</v>
      </c>
      <c r="J5350" t="s">
        <v>19</v>
      </c>
      <c r="K5350" t="s">
        <v>20</v>
      </c>
      <c r="L5350" t="s">
        <v>12347</v>
      </c>
      <c r="M5350" s="3" t="str">
        <f>HYPERLINK("..\..\Imagery\ScannedPhotos\1987\CG87-444.3.jpg")</f>
        <v>..\..\Imagery\ScannedPhotos\1987\CG87-444.3.jpg</v>
      </c>
    </row>
    <row r="5351" spans="1:13" x14ac:dyDescent="0.25">
      <c r="A5351" t="s">
        <v>2310</v>
      </c>
      <c r="B5351">
        <v>397586</v>
      </c>
      <c r="C5351">
        <v>5908024</v>
      </c>
      <c r="D5351">
        <v>21</v>
      </c>
      <c r="E5351" t="s">
        <v>15</v>
      </c>
      <c r="F5351" t="s">
        <v>12348</v>
      </c>
      <c r="G5351">
        <v>2</v>
      </c>
      <c r="H5351" t="s">
        <v>2312</v>
      </c>
      <c r="I5351" t="s">
        <v>74</v>
      </c>
      <c r="J5351" t="s">
        <v>557</v>
      </c>
      <c r="K5351" t="s">
        <v>20</v>
      </c>
      <c r="L5351" t="s">
        <v>2313</v>
      </c>
      <c r="M5351" s="3" t="str">
        <f>HYPERLINK("..\..\Imagery\ScannedPhotos\1995\VN95-176.2.jpg")</f>
        <v>..\..\Imagery\ScannedPhotos\1995\VN95-176.2.jpg</v>
      </c>
    </row>
    <row r="5352" spans="1:13" x14ac:dyDescent="0.25">
      <c r="A5352" t="s">
        <v>12349</v>
      </c>
      <c r="B5352">
        <v>381883</v>
      </c>
      <c r="C5352">
        <v>5895739</v>
      </c>
      <c r="D5352">
        <v>21</v>
      </c>
      <c r="E5352" t="s">
        <v>15</v>
      </c>
      <c r="F5352" t="s">
        <v>12350</v>
      </c>
      <c r="G5352">
        <v>2</v>
      </c>
      <c r="H5352" t="s">
        <v>2312</v>
      </c>
      <c r="I5352" t="s">
        <v>41</v>
      </c>
      <c r="J5352" t="s">
        <v>557</v>
      </c>
      <c r="K5352" t="s">
        <v>56</v>
      </c>
      <c r="L5352" t="s">
        <v>1045</v>
      </c>
      <c r="M5352" s="3" t="str">
        <f>HYPERLINK("..\..\Imagery\ScannedPhotos\1995\VN95-191.1.jpg")</f>
        <v>..\..\Imagery\ScannedPhotos\1995\VN95-191.1.jpg</v>
      </c>
    </row>
    <row r="5353" spans="1:13" x14ac:dyDescent="0.25">
      <c r="A5353" t="s">
        <v>12349</v>
      </c>
      <c r="B5353">
        <v>381883</v>
      </c>
      <c r="C5353">
        <v>5895739</v>
      </c>
      <c r="D5353">
        <v>21</v>
      </c>
      <c r="E5353" t="s">
        <v>15</v>
      </c>
      <c r="F5353" t="s">
        <v>12351</v>
      </c>
      <c r="G5353">
        <v>2</v>
      </c>
      <c r="H5353" t="s">
        <v>2312</v>
      </c>
      <c r="I5353" t="s">
        <v>85</v>
      </c>
      <c r="J5353" t="s">
        <v>557</v>
      </c>
      <c r="K5353" t="s">
        <v>56</v>
      </c>
      <c r="L5353" t="s">
        <v>1045</v>
      </c>
      <c r="M5353" s="3" t="str">
        <f>HYPERLINK("..\..\Imagery\ScannedPhotos\1995\VN95-191.2.jpg")</f>
        <v>..\..\Imagery\ScannedPhotos\1995\VN95-191.2.jpg</v>
      </c>
    </row>
    <row r="5354" spans="1:13" x14ac:dyDescent="0.25">
      <c r="A5354" t="s">
        <v>12352</v>
      </c>
      <c r="B5354">
        <v>526660</v>
      </c>
      <c r="C5354">
        <v>5720726</v>
      </c>
      <c r="D5354">
        <v>21</v>
      </c>
      <c r="E5354" t="s">
        <v>15</v>
      </c>
      <c r="F5354" t="s">
        <v>12353</v>
      </c>
      <c r="G5354">
        <v>2</v>
      </c>
      <c r="H5354" t="s">
        <v>2418</v>
      </c>
      <c r="I5354" t="s">
        <v>74</v>
      </c>
      <c r="J5354" t="s">
        <v>570</v>
      </c>
      <c r="K5354" t="s">
        <v>20</v>
      </c>
      <c r="L5354" t="s">
        <v>12354</v>
      </c>
      <c r="M5354" s="3" t="str">
        <f>HYPERLINK("..\..\Imagery\ScannedPhotos\1993\VN93-103.2.jpg")</f>
        <v>..\..\Imagery\ScannedPhotos\1993\VN93-103.2.jpg</v>
      </c>
    </row>
    <row r="5355" spans="1:13" x14ac:dyDescent="0.25">
      <c r="A5355" t="s">
        <v>11229</v>
      </c>
      <c r="B5355">
        <v>526375</v>
      </c>
      <c r="C5355">
        <v>5720687</v>
      </c>
      <c r="D5355">
        <v>21</v>
      </c>
      <c r="E5355" t="s">
        <v>15</v>
      </c>
      <c r="F5355" t="s">
        <v>12355</v>
      </c>
      <c r="G5355">
        <v>6</v>
      </c>
      <c r="H5355" t="s">
        <v>2418</v>
      </c>
      <c r="I5355" t="s">
        <v>209</v>
      </c>
      <c r="J5355" t="s">
        <v>570</v>
      </c>
      <c r="K5355" t="s">
        <v>56</v>
      </c>
      <c r="L5355" t="s">
        <v>11231</v>
      </c>
      <c r="M5355" s="3" t="str">
        <f>HYPERLINK("..\..\Imagery\ScannedPhotos\1993\VN93-104.5.jpg")</f>
        <v>..\..\Imagery\ScannedPhotos\1993\VN93-104.5.jpg</v>
      </c>
    </row>
    <row r="5356" spans="1:13" x14ac:dyDescent="0.25">
      <c r="A5356" t="s">
        <v>6086</v>
      </c>
      <c r="B5356">
        <v>501295</v>
      </c>
      <c r="C5356">
        <v>5965616</v>
      </c>
      <c r="D5356">
        <v>21</v>
      </c>
      <c r="E5356" t="s">
        <v>15</v>
      </c>
      <c r="F5356" t="s">
        <v>12356</v>
      </c>
      <c r="G5356">
        <v>3</v>
      </c>
      <c r="H5356" t="s">
        <v>1197</v>
      </c>
      <c r="I5356" t="s">
        <v>209</v>
      </c>
      <c r="J5356" t="s">
        <v>48</v>
      </c>
      <c r="K5356" t="s">
        <v>228</v>
      </c>
      <c r="L5356" t="s">
        <v>12357</v>
      </c>
      <c r="M5356" s="3" t="str">
        <f>HYPERLINK("..\..\Imagery\ScannedPhotos\1981\CG81-748.3.jpg")</f>
        <v>..\..\Imagery\ScannedPhotos\1981\CG81-748.3.jpg</v>
      </c>
    </row>
    <row r="5357" spans="1:13" x14ac:dyDescent="0.25">
      <c r="A5357" t="s">
        <v>12358</v>
      </c>
      <c r="B5357">
        <v>499356</v>
      </c>
      <c r="C5357">
        <v>5967459</v>
      </c>
      <c r="D5357">
        <v>21</v>
      </c>
      <c r="E5357" t="s">
        <v>15</v>
      </c>
      <c r="F5357" t="s">
        <v>12359</v>
      </c>
      <c r="G5357">
        <v>1</v>
      </c>
      <c r="H5357" t="s">
        <v>2284</v>
      </c>
      <c r="I5357" t="s">
        <v>304</v>
      </c>
      <c r="J5357" t="s">
        <v>3136</v>
      </c>
      <c r="K5357" t="s">
        <v>228</v>
      </c>
      <c r="L5357" t="s">
        <v>12360</v>
      </c>
      <c r="M5357" s="3" t="str">
        <f>HYPERLINK("..\..\Imagery\ScannedPhotos\1981\CG81-749.jpg")</f>
        <v>..\..\Imagery\ScannedPhotos\1981\CG81-749.jpg</v>
      </c>
    </row>
    <row r="5358" spans="1:13" x14ac:dyDescent="0.25">
      <c r="A5358" t="s">
        <v>1319</v>
      </c>
      <c r="B5358">
        <v>374662</v>
      </c>
      <c r="C5358">
        <v>5977083</v>
      </c>
      <c r="D5358">
        <v>21</v>
      </c>
      <c r="E5358" t="s">
        <v>15</v>
      </c>
      <c r="F5358" t="s">
        <v>12361</v>
      </c>
      <c r="G5358">
        <v>1</v>
      </c>
      <c r="H5358" t="s">
        <v>443</v>
      </c>
      <c r="I5358" t="s">
        <v>79</v>
      </c>
      <c r="J5358" t="s">
        <v>48</v>
      </c>
      <c r="K5358" t="s">
        <v>228</v>
      </c>
      <c r="L5358" t="s">
        <v>12362</v>
      </c>
      <c r="M5358" s="3" t="str">
        <f>HYPERLINK("..\..\Imagery\ScannedPhotos\1980\NN80-203.3.jpg")</f>
        <v>..\..\Imagery\ScannedPhotos\1980\NN80-203.3.jpg</v>
      </c>
    </row>
    <row r="5359" spans="1:13" x14ac:dyDescent="0.25">
      <c r="A5359" t="s">
        <v>1319</v>
      </c>
      <c r="B5359">
        <v>374662</v>
      </c>
      <c r="C5359">
        <v>5977083</v>
      </c>
      <c r="D5359">
        <v>21</v>
      </c>
      <c r="E5359" t="s">
        <v>15</v>
      </c>
      <c r="F5359" t="s">
        <v>12363</v>
      </c>
      <c r="G5359">
        <v>1</v>
      </c>
      <c r="H5359" t="s">
        <v>443</v>
      </c>
      <c r="I5359" t="s">
        <v>294</v>
      </c>
      <c r="J5359" t="s">
        <v>48</v>
      </c>
      <c r="K5359" t="s">
        <v>228</v>
      </c>
      <c r="L5359" t="s">
        <v>12364</v>
      </c>
      <c r="M5359" s="3" t="str">
        <f>HYPERLINK("..\..\Imagery\ScannedPhotos\1980\NN80-203.2.jpg")</f>
        <v>..\..\Imagery\ScannedPhotos\1980\NN80-203.2.jpg</v>
      </c>
    </row>
    <row r="5360" spans="1:13" x14ac:dyDescent="0.25">
      <c r="A5360" t="s">
        <v>1319</v>
      </c>
      <c r="B5360">
        <v>374662</v>
      </c>
      <c r="C5360">
        <v>5977083</v>
      </c>
      <c r="D5360">
        <v>21</v>
      </c>
      <c r="E5360" t="s">
        <v>15</v>
      </c>
      <c r="F5360" t="s">
        <v>12365</v>
      </c>
      <c r="G5360">
        <v>1</v>
      </c>
      <c r="H5360" t="s">
        <v>1316</v>
      </c>
      <c r="I5360" t="s">
        <v>375</v>
      </c>
      <c r="J5360" t="s">
        <v>978</v>
      </c>
      <c r="K5360" t="s">
        <v>20</v>
      </c>
      <c r="L5360" t="s">
        <v>12366</v>
      </c>
      <c r="M5360" s="3" t="str">
        <f>HYPERLINK("..\..\Imagery\ScannedPhotos\1980\NN80-203.1.jpg")</f>
        <v>..\..\Imagery\ScannedPhotos\1980\NN80-203.1.jpg</v>
      </c>
    </row>
    <row r="5361" spans="1:13" x14ac:dyDescent="0.25">
      <c r="A5361" t="s">
        <v>12367</v>
      </c>
      <c r="B5361">
        <v>374459</v>
      </c>
      <c r="C5361">
        <v>5975058</v>
      </c>
      <c r="D5361">
        <v>21</v>
      </c>
      <c r="E5361" t="s">
        <v>15</v>
      </c>
      <c r="F5361" t="s">
        <v>12368</v>
      </c>
      <c r="G5361">
        <v>1</v>
      </c>
      <c r="H5361" t="s">
        <v>1316</v>
      </c>
      <c r="I5361" t="s">
        <v>209</v>
      </c>
      <c r="J5361" t="s">
        <v>978</v>
      </c>
      <c r="K5361" t="s">
        <v>20</v>
      </c>
      <c r="L5361" t="s">
        <v>12369</v>
      </c>
      <c r="M5361" s="3" t="str">
        <f>HYPERLINK("..\..\Imagery\ScannedPhotos\1980\NN80-211.jpg")</f>
        <v>..\..\Imagery\ScannedPhotos\1980\NN80-211.jpg</v>
      </c>
    </row>
    <row r="5362" spans="1:13" x14ac:dyDescent="0.25">
      <c r="A5362" t="s">
        <v>12370</v>
      </c>
      <c r="B5362">
        <v>372700</v>
      </c>
      <c r="C5362">
        <v>5975146</v>
      </c>
      <c r="D5362">
        <v>21</v>
      </c>
      <c r="E5362" t="s">
        <v>15</v>
      </c>
      <c r="F5362" t="s">
        <v>12371</v>
      </c>
      <c r="G5362">
        <v>1</v>
      </c>
      <c r="H5362" t="s">
        <v>1316</v>
      </c>
      <c r="I5362" t="s">
        <v>214</v>
      </c>
      <c r="J5362" t="s">
        <v>978</v>
      </c>
      <c r="K5362" t="s">
        <v>20</v>
      </c>
      <c r="L5362" t="s">
        <v>9432</v>
      </c>
      <c r="M5362" s="3" t="str">
        <f>HYPERLINK("..\..\Imagery\ScannedPhotos\1980\NN80-214.jpg")</f>
        <v>..\..\Imagery\ScannedPhotos\1980\NN80-214.jpg</v>
      </c>
    </row>
    <row r="5363" spans="1:13" x14ac:dyDescent="0.25">
      <c r="A5363" t="s">
        <v>12372</v>
      </c>
      <c r="B5363">
        <v>372677</v>
      </c>
      <c r="C5363">
        <v>5975238</v>
      </c>
      <c r="D5363">
        <v>21</v>
      </c>
      <c r="E5363" t="s">
        <v>15</v>
      </c>
      <c r="F5363" t="s">
        <v>12373</v>
      </c>
      <c r="G5363">
        <v>1</v>
      </c>
      <c r="H5363" t="s">
        <v>1316</v>
      </c>
      <c r="I5363" t="s">
        <v>222</v>
      </c>
      <c r="J5363" t="s">
        <v>978</v>
      </c>
      <c r="K5363" t="s">
        <v>56</v>
      </c>
      <c r="L5363" t="s">
        <v>12374</v>
      </c>
      <c r="M5363" s="3" t="str">
        <f>HYPERLINK("..\..\Imagery\ScannedPhotos\1980\NN80-215.jpg")</f>
        <v>..\..\Imagery\ScannedPhotos\1980\NN80-215.jpg</v>
      </c>
    </row>
    <row r="5364" spans="1:13" x14ac:dyDescent="0.25">
      <c r="A5364" t="s">
        <v>11700</v>
      </c>
      <c r="B5364">
        <v>387263</v>
      </c>
      <c r="C5364">
        <v>5979687</v>
      </c>
      <c r="D5364">
        <v>21</v>
      </c>
      <c r="E5364" t="s">
        <v>15</v>
      </c>
      <c r="F5364" t="s">
        <v>12375</v>
      </c>
      <c r="G5364">
        <v>2</v>
      </c>
      <c r="H5364" t="s">
        <v>1316</v>
      </c>
      <c r="I5364" t="s">
        <v>114</v>
      </c>
      <c r="J5364" t="s">
        <v>978</v>
      </c>
      <c r="K5364" t="s">
        <v>20</v>
      </c>
      <c r="L5364" t="s">
        <v>11702</v>
      </c>
      <c r="M5364" s="3" t="str">
        <f>HYPERLINK("..\..\Imagery\ScannedPhotos\1980\NN80-234.1.jpg")</f>
        <v>..\..\Imagery\ScannedPhotos\1980\NN80-234.1.jpg</v>
      </c>
    </row>
    <row r="5365" spans="1:13" x14ac:dyDescent="0.25">
      <c r="A5365" t="s">
        <v>4016</v>
      </c>
      <c r="B5365">
        <v>491182</v>
      </c>
      <c r="C5365">
        <v>5831928</v>
      </c>
      <c r="D5365">
        <v>21</v>
      </c>
      <c r="E5365" t="s">
        <v>15</v>
      </c>
      <c r="F5365" t="s">
        <v>12376</v>
      </c>
      <c r="G5365">
        <v>8</v>
      </c>
      <c r="H5365" t="s">
        <v>890</v>
      </c>
      <c r="I5365" t="s">
        <v>137</v>
      </c>
      <c r="J5365" t="s">
        <v>891</v>
      </c>
      <c r="K5365" t="s">
        <v>20</v>
      </c>
      <c r="L5365" t="s">
        <v>4018</v>
      </c>
      <c r="M5365" s="3" t="str">
        <f>HYPERLINK("..\..\Imagery\ScannedPhotos\1991\VN91-221.4.jpg")</f>
        <v>..\..\Imagery\ScannedPhotos\1991\VN91-221.4.jpg</v>
      </c>
    </row>
    <row r="5366" spans="1:13" x14ac:dyDescent="0.25">
      <c r="A5366" t="s">
        <v>10171</v>
      </c>
      <c r="B5366">
        <v>592948</v>
      </c>
      <c r="C5366">
        <v>5785231</v>
      </c>
      <c r="D5366">
        <v>21</v>
      </c>
      <c r="E5366" t="s">
        <v>15</v>
      </c>
      <c r="F5366" t="s">
        <v>12377</v>
      </c>
      <c r="G5366">
        <v>9</v>
      </c>
      <c r="H5366" t="s">
        <v>17</v>
      </c>
      <c r="I5366" t="s">
        <v>25</v>
      </c>
      <c r="J5366" t="s">
        <v>19</v>
      </c>
      <c r="K5366" t="s">
        <v>20</v>
      </c>
      <c r="L5366" t="s">
        <v>12378</v>
      </c>
      <c r="M5366" s="3" t="str">
        <f>HYPERLINK("..\..\Imagery\ScannedPhotos\1987\CG87-444.7.jpg")</f>
        <v>..\..\Imagery\ScannedPhotos\1987\CG87-444.7.jpg</v>
      </c>
    </row>
    <row r="5367" spans="1:13" x14ac:dyDescent="0.25">
      <c r="A5367" t="s">
        <v>10171</v>
      </c>
      <c r="B5367">
        <v>592948</v>
      </c>
      <c r="C5367">
        <v>5785231</v>
      </c>
      <c r="D5367">
        <v>21</v>
      </c>
      <c r="E5367" t="s">
        <v>15</v>
      </c>
      <c r="F5367" t="s">
        <v>12379</v>
      </c>
      <c r="G5367">
        <v>9</v>
      </c>
      <c r="H5367" t="s">
        <v>17</v>
      </c>
      <c r="I5367" t="s">
        <v>418</v>
      </c>
      <c r="J5367" t="s">
        <v>19</v>
      </c>
      <c r="K5367" t="s">
        <v>20</v>
      </c>
      <c r="L5367" t="s">
        <v>12347</v>
      </c>
      <c r="M5367" s="3" t="str">
        <f>HYPERLINK("..\..\Imagery\ScannedPhotos\1987\CG87-444.4.jpg")</f>
        <v>..\..\Imagery\ScannedPhotos\1987\CG87-444.4.jpg</v>
      </c>
    </row>
    <row r="5368" spans="1:13" x14ac:dyDescent="0.25">
      <c r="A5368" t="s">
        <v>10171</v>
      </c>
      <c r="B5368">
        <v>592948</v>
      </c>
      <c r="C5368">
        <v>5785231</v>
      </c>
      <c r="D5368">
        <v>21</v>
      </c>
      <c r="E5368" t="s">
        <v>15</v>
      </c>
      <c r="F5368" t="s">
        <v>12380</v>
      </c>
      <c r="G5368">
        <v>9</v>
      </c>
      <c r="H5368" t="s">
        <v>17</v>
      </c>
      <c r="I5368" t="s">
        <v>304</v>
      </c>
      <c r="J5368" t="s">
        <v>19</v>
      </c>
      <c r="K5368" t="s">
        <v>20</v>
      </c>
      <c r="L5368" t="s">
        <v>12381</v>
      </c>
      <c r="M5368" s="3" t="str">
        <f>HYPERLINK("..\..\Imagery\ScannedPhotos\1987\CG87-444.5.jpg")</f>
        <v>..\..\Imagery\ScannedPhotos\1987\CG87-444.5.jpg</v>
      </c>
    </row>
    <row r="5369" spans="1:13" x14ac:dyDescent="0.25">
      <c r="A5369" t="s">
        <v>7604</v>
      </c>
      <c r="B5369">
        <v>468700</v>
      </c>
      <c r="C5369">
        <v>5808448</v>
      </c>
      <c r="D5369">
        <v>21</v>
      </c>
      <c r="E5369" t="s">
        <v>15</v>
      </c>
      <c r="F5369" t="s">
        <v>12382</v>
      </c>
      <c r="G5369">
        <v>3</v>
      </c>
      <c r="H5369" t="s">
        <v>2344</v>
      </c>
      <c r="I5369" t="s">
        <v>209</v>
      </c>
      <c r="J5369" t="s">
        <v>2341</v>
      </c>
      <c r="K5369" t="s">
        <v>56</v>
      </c>
      <c r="L5369" t="s">
        <v>12383</v>
      </c>
      <c r="M5369" s="3" t="str">
        <f>HYPERLINK("..\..\Imagery\ScannedPhotos\1992\JA92-032.2.jpg")</f>
        <v>..\..\Imagery\ScannedPhotos\1992\JA92-032.2.jpg</v>
      </c>
    </row>
    <row r="5370" spans="1:13" x14ac:dyDescent="0.25">
      <c r="A5370" t="s">
        <v>12384</v>
      </c>
      <c r="B5370">
        <v>350018</v>
      </c>
      <c r="C5370">
        <v>5837654</v>
      </c>
      <c r="D5370">
        <v>21</v>
      </c>
      <c r="E5370" t="s">
        <v>15</v>
      </c>
      <c r="F5370" t="s">
        <v>12385</v>
      </c>
      <c r="G5370">
        <v>1</v>
      </c>
      <c r="H5370" t="s">
        <v>5833</v>
      </c>
      <c r="I5370" t="s">
        <v>137</v>
      </c>
      <c r="J5370" t="s">
        <v>260</v>
      </c>
      <c r="K5370" t="s">
        <v>56</v>
      </c>
      <c r="L5370" t="s">
        <v>3584</v>
      </c>
      <c r="M5370" s="3" t="str">
        <f>HYPERLINK("..\..\Imagery\ScannedPhotos\1998\CG98-169.jpg")</f>
        <v>..\..\Imagery\ScannedPhotos\1998\CG98-169.jpg</v>
      </c>
    </row>
    <row r="5371" spans="1:13" x14ac:dyDescent="0.25">
      <c r="A5371" t="s">
        <v>12386</v>
      </c>
      <c r="B5371">
        <v>354658</v>
      </c>
      <c r="C5371">
        <v>5826322</v>
      </c>
      <c r="D5371">
        <v>21</v>
      </c>
      <c r="E5371" t="s">
        <v>15</v>
      </c>
      <c r="F5371" t="s">
        <v>12387</v>
      </c>
      <c r="G5371">
        <v>1</v>
      </c>
      <c r="H5371" t="s">
        <v>5833</v>
      </c>
      <c r="I5371" t="s">
        <v>18</v>
      </c>
      <c r="J5371" t="s">
        <v>260</v>
      </c>
      <c r="K5371" t="s">
        <v>56</v>
      </c>
      <c r="L5371" t="s">
        <v>12388</v>
      </c>
      <c r="M5371" s="3" t="str">
        <f>HYPERLINK("..\..\Imagery\ScannedPhotos\1998\CG98-181.jpg")</f>
        <v>..\..\Imagery\ScannedPhotos\1998\CG98-181.jpg</v>
      </c>
    </row>
    <row r="5372" spans="1:13" x14ac:dyDescent="0.25">
      <c r="A5372" t="s">
        <v>12389</v>
      </c>
      <c r="B5372">
        <v>358872</v>
      </c>
      <c r="C5372">
        <v>5822105</v>
      </c>
      <c r="D5372">
        <v>21</v>
      </c>
      <c r="E5372" t="s">
        <v>15</v>
      </c>
      <c r="F5372" t="s">
        <v>12390</v>
      </c>
      <c r="G5372">
        <v>1</v>
      </c>
      <c r="H5372" t="s">
        <v>5833</v>
      </c>
      <c r="I5372" t="s">
        <v>35</v>
      </c>
      <c r="J5372" t="s">
        <v>260</v>
      </c>
      <c r="K5372" t="s">
        <v>56</v>
      </c>
      <c r="L5372" t="s">
        <v>1031</v>
      </c>
      <c r="M5372" s="3" t="str">
        <f>HYPERLINK("..\..\Imagery\ScannedPhotos\1998\CG98-184.jpg")</f>
        <v>..\..\Imagery\ScannedPhotos\1998\CG98-184.jpg</v>
      </c>
    </row>
    <row r="5373" spans="1:13" x14ac:dyDescent="0.25">
      <c r="A5373" t="s">
        <v>10994</v>
      </c>
      <c r="B5373">
        <v>359800</v>
      </c>
      <c r="C5373">
        <v>5819436</v>
      </c>
      <c r="D5373">
        <v>21</v>
      </c>
      <c r="E5373" t="s">
        <v>15</v>
      </c>
      <c r="F5373" t="s">
        <v>12391</v>
      </c>
      <c r="G5373">
        <v>4</v>
      </c>
      <c r="H5373" t="s">
        <v>5833</v>
      </c>
      <c r="I5373" t="s">
        <v>47</v>
      </c>
      <c r="J5373" t="s">
        <v>260</v>
      </c>
      <c r="K5373" t="s">
        <v>20</v>
      </c>
      <c r="L5373" t="s">
        <v>12392</v>
      </c>
      <c r="M5373" s="3" t="str">
        <f>HYPERLINK("..\..\Imagery\ScannedPhotos\1998\CG98-188.3.jpg")</f>
        <v>..\..\Imagery\ScannedPhotos\1998\CG98-188.3.jpg</v>
      </c>
    </row>
    <row r="5374" spans="1:13" x14ac:dyDescent="0.25">
      <c r="A5374" t="s">
        <v>10994</v>
      </c>
      <c r="B5374">
        <v>359800</v>
      </c>
      <c r="C5374">
        <v>5819436</v>
      </c>
      <c r="D5374">
        <v>21</v>
      </c>
      <c r="E5374" t="s">
        <v>15</v>
      </c>
      <c r="F5374" t="s">
        <v>12393</v>
      </c>
      <c r="G5374">
        <v>4</v>
      </c>
      <c r="H5374" t="s">
        <v>5833</v>
      </c>
      <c r="I5374" t="s">
        <v>52</v>
      </c>
      <c r="J5374" t="s">
        <v>260</v>
      </c>
      <c r="K5374" t="s">
        <v>56</v>
      </c>
      <c r="L5374" t="s">
        <v>12394</v>
      </c>
      <c r="M5374" s="3" t="str">
        <f>HYPERLINK("..\..\Imagery\ScannedPhotos\1998\CG98-188.4.jpg")</f>
        <v>..\..\Imagery\ScannedPhotos\1998\CG98-188.4.jpg</v>
      </c>
    </row>
    <row r="5375" spans="1:13" x14ac:dyDescent="0.25">
      <c r="A5375" t="s">
        <v>11455</v>
      </c>
      <c r="B5375">
        <v>443818</v>
      </c>
      <c r="C5375">
        <v>5773811</v>
      </c>
      <c r="D5375">
        <v>21</v>
      </c>
      <c r="E5375" t="s">
        <v>15</v>
      </c>
      <c r="F5375" t="s">
        <v>12395</v>
      </c>
      <c r="G5375">
        <v>9</v>
      </c>
      <c r="H5375" t="s">
        <v>9755</v>
      </c>
      <c r="I5375" t="s">
        <v>375</v>
      </c>
      <c r="J5375" t="s">
        <v>9756</v>
      </c>
      <c r="K5375" t="s">
        <v>935</v>
      </c>
      <c r="L5375" t="s">
        <v>11814</v>
      </c>
      <c r="M5375" s="3" t="str">
        <f>HYPERLINK("..\..\Imagery\ScannedPhotos\1992\HP92-143.2.jpg")</f>
        <v>..\..\Imagery\ScannedPhotos\1992\HP92-143.2.jpg</v>
      </c>
    </row>
    <row r="5376" spans="1:13" x14ac:dyDescent="0.25">
      <c r="A5376" t="s">
        <v>11455</v>
      </c>
      <c r="B5376">
        <v>443818</v>
      </c>
      <c r="C5376">
        <v>5773811</v>
      </c>
      <c r="D5376">
        <v>21</v>
      </c>
      <c r="E5376" t="s">
        <v>15</v>
      </c>
      <c r="F5376" t="s">
        <v>12396</v>
      </c>
      <c r="G5376">
        <v>9</v>
      </c>
      <c r="H5376" t="s">
        <v>9755</v>
      </c>
      <c r="I5376" t="s">
        <v>85</v>
      </c>
      <c r="J5376" t="s">
        <v>9756</v>
      </c>
      <c r="K5376" t="s">
        <v>935</v>
      </c>
      <c r="L5376" t="s">
        <v>11814</v>
      </c>
      <c r="M5376" s="3" t="str">
        <f>HYPERLINK("..\..\Imagery\ScannedPhotos\1992\HP92-143.1.jpg")</f>
        <v>..\..\Imagery\ScannedPhotos\1992\HP92-143.1.jpg</v>
      </c>
    </row>
    <row r="5377" spans="1:14" x14ac:dyDescent="0.25">
      <c r="A5377" t="s">
        <v>11455</v>
      </c>
      <c r="B5377">
        <v>443818</v>
      </c>
      <c r="C5377">
        <v>5773811</v>
      </c>
      <c r="D5377">
        <v>21</v>
      </c>
      <c r="E5377" t="s">
        <v>15</v>
      </c>
      <c r="F5377" t="s">
        <v>12397</v>
      </c>
      <c r="G5377">
        <v>9</v>
      </c>
      <c r="H5377" t="s">
        <v>9755</v>
      </c>
      <c r="I5377" t="s">
        <v>222</v>
      </c>
      <c r="J5377" t="s">
        <v>9756</v>
      </c>
      <c r="K5377" t="s">
        <v>935</v>
      </c>
      <c r="L5377" t="s">
        <v>11814</v>
      </c>
      <c r="M5377" s="3" t="str">
        <f>HYPERLINK("..\..\Imagery\ScannedPhotos\1992\HP92-143.7E.jpg")</f>
        <v>..\..\Imagery\ScannedPhotos\1992\HP92-143.7E.jpg</v>
      </c>
      <c r="N5377" t="s">
        <v>1808</v>
      </c>
    </row>
    <row r="5378" spans="1:14" x14ac:dyDescent="0.25">
      <c r="A5378" t="s">
        <v>12398</v>
      </c>
      <c r="B5378">
        <v>565375</v>
      </c>
      <c r="C5378">
        <v>5748096</v>
      </c>
      <c r="D5378">
        <v>21</v>
      </c>
      <c r="E5378" t="s">
        <v>15</v>
      </c>
      <c r="F5378" t="s">
        <v>12399</v>
      </c>
      <c r="G5378">
        <v>1</v>
      </c>
      <c r="H5378" t="s">
        <v>6322</v>
      </c>
      <c r="I5378" t="s">
        <v>122</v>
      </c>
      <c r="J5378" t="s">
        <v>996</v>
      </c>
      <c r="K5378" t="s">
        <v>20</v>
      </c>
      <c r="L5378" t="s">
        <v>12400</v>
      </c>
      <c r="M5378" s="3" t="str">
        <f>HYPERLINK("..\..\Imagery\ScannedPhotos\1993\VN93-412.jpg")</f>
        <v>..\..\Imagery\ScannedPhotos\1993\VN93-412.jpg</v>
      </c>
    </row>
    <row r="5379" spans="1:14" x14ac:dyDescent="0.25">
      <c r="A5379" t="s">
        <v>6178</v>
      </c>
      <c r="B5379">
        <v>448563</v>
      </c>
      <c r="C5379">
        <v>5902512</v>
      </c>
      <c r="D5379">
        <v>21</v>
      </c>
      <c r="E5379" t="s">
        <v>15</v>
      </c>
      <c r="F5379" t="s">
        <v>12401</v>
      </c>
      <c r="G5379">
        <v>4</v>
      </c>
      <c r="H5379" t="s">
        <v>6176</v>
      </c>
      <c r="I5379" t="s">
        <v>386</v>
      </c>
      <c r="J5379" t="s">
        <v>2247</v>
      </c>
      <c r="K5379" t="s">
        <v>56</v>
      </c>
      <c r="L5379" t="s">
        <v>12402</v>
      </c>
      <c r="M5379" s="3" t="str">
        <f>HYPERLINK("..\..\Imagery\ScannedPhotos\1984\NN84-247.1.jpg")</f>
        <v>..\..\Imagery\ScannedPhotos\1984\NN84-247.1.jpg</v>
      </c>
    </row>
    <row r="5380" spans="1:14" x14ac:dyDescent="0.25">
      <c r="A5380" t="s">
        <v>12403</v>
      </c>
      <c r="B5380">
        <v>447658</v>
      </c>
      <c r="C5380">
        <v>5898785</v>
      </c>
      <c r="D5380">
        <v>21</v>
      </c>
      <c r="E5380" t="s">
        <v>15</v>
      </c>
      <c r="F5380" t="s">
        <v>12404</v>
      </c>
      <c r="G5380">
        <v>4</v>
      </c>
      <c r="H5380" t="s">
        <v>6176</v>
      </c>
      <c r="I5380" t="s">
        <v>418</v>
      </c>
      <c r="J5380" t="s">
        <v>2247</v>
      </c>
      <c r="K5380" t="s">
        <v>20</v>
      </c>
      <c r="L5380" t="s">
        <v>12405</v>
      </c>
      <c r="M5380" s="3" t="str">
        <f>HYPERLINK("..\..\Imagery\ScannedPhotos\1984\NN84-258.1.jpg")</f>
        <v>..\..\Imagery\ScannedPhotos\1984\NN84-258.1.jpg</v>
      </c>
    </row>
    <row r="5381" spans="1:14" x14ac:dyDescent="0.25">
      <c r="A5381" t="s">
        <v>12406</v>
      </c>
      <c r="B5381">
        <v>478625</v>
      </c>
      <c r="C5381">
        <v>5766417</v>
      </c>
      <c r="D5381">
        <v>21</v>
      </c>
      <c r="E5381" t="s">
        <v>15</v>
      </c>
      <c r="F5381" t="s">
        <v>12407</v>
      </c>
      <c r="G5381">
        <v>1</v>
      </c>
      <c r="H5381" t="s">
        <v>9755</v>
      </c>
      <c r="I5381" t="s">
        <v>129</v>
      </c>
      <c r="J5381" t="s">
        <v>9756</v>
      </c>
      <c r="K5381" t="s">
        <v>20</v>
      </c>
      <c r="L5381" t="s">
        <v>7994</v>
      </c>
      <c r="M5381" s="3" t="str">
        <f>HYPERLINK("..\..\Imagery\ScannedPhotos\1992\HP92-177.jpg")</f>
        <v>..\..\Imagery\ScannedPhotos\1992\HP92-177.jpg</v>
      </c>
    </row>
    <row r="5382" spans="1:14" x14ac:dyDescent="0.25">
      <c r="A5382" t="s">
        <v>5304</v>
      </c>
      <c r="B5382">
        <v>377348</v>
      </c>
      <c r="C5382">
        <v>5762342</v>
      </c>
      <c r="D5382">
        <v>21</v>
      </c>
      <c r="E5382" t="s">
        <v>15</v>
      </c>
      <c r="F5382" t="s">
        <v>12408</v>
      </c>
      <c r="G5382">
        <v>8</v>
      </c>
      <c r="H5382" t="s">
        <v>766</v>
      </c>
      <c r="I5382" t="s">
        <v>222</v>
      </c>
      <c r="J5382" t="s">
        <v>767</v>
      </c>
      <c r="K5382" t="s">
        <v>20</v>
      </c>
      <c r="L5382" t="s">
        <v>5306</v>
      </c>
      <c r="M5382" s="3" t="str">
        <f>HYPERLINK("..\..\Imagery\ScannedPhotos\1999\CG99-195.3.jpg")</f>
        <v>..\..\Imagery\ScannedPhotos\1999\CG99-195.3.jpg</v>
      </c>
    </row>
    <row r="5383" spans="1:14" x14ac:dyDescent="0.25">
      <c r="A5383" t="s">
        <v>5304</v>
      </c>
      <c r="B5383">
        <v>377348</v>
      </c>
      <c r="C5383">
        <v>5762342</v>
      </c>
      <c r="D5383">
        <v>21</v>
      </c>
      <c r="E5383" t="s">
        <v>15</v>
      </c>
      <c r="F5383" t="s">
        <v>12409</v>
      </c>
      <c r="G5383">
        <v>8</v>
      </c>
      <c r="H5383" t="s">
        <v>766</v>
      </c>
      <c r="I5383" t="s">
        <v>360</v>
      </c>
      <c r="J5383" t="s">
        <v>767</v>
      </c>
      <c r="K5383" t="s">
        <v>56</v>
      </c>
      <c r="L5383" t="s">
        <v>772</v>
      </c>
      <c r="M5383" s="3" t="str">
        <f>HYPERLINK("..\..\Imagery\ScannedPhotos\1999\CG99-195.8.jpg")</f>
        <v>..\..\Imagery\ScannedPhotos\1999\CG99-195.8.jpg</v>
      </c>
    </row>
    <row r="5384" spans="1:14" x14ac:dyDescent="0.25">
      <c r="A5384" t="s">
        <v>5304</v>
      </c>
      <c r="B5384">
        <v>377348</v>
      </c>
      <c r="C5384">
        <v>5762342</v>
      </c>
      <c r="D5384">
        <v>21</v>
      </c>
      <c r="E5384" t="s">
        <v>15</v>
      </c>
      <c r="F5384" t="s">
        <v>12410</v>
      </c>
      <c r="G5384">
        <v>8</v>
      </c>
      <c r="H5384" t="s">
        <v>766</v>
      </c>
      <c r="I5384" t="s">
        <v>214</v>
      </c>
      <c r="J5384" t="s">
        <v>767</v>
      </c>
      <c r="K5384" t="s">
        <v>20</v>
      </c>
      <c r="L5384" t="s">
        <v>12411</v>
      </c>
      <c r="M5384" s="3" t="str">
        <f>HYPERLINK("..\..\Imagery\ScannedPhotos\1999\CG99-195.2.jpg")</f>
        <v>..\..\Imagery\ScannedPhotos\1999\CG99-195.2.jpg</v>
      </c>
    </row>
    <row r="5385" spans="1:14" x14ac:dyDescent="0.25">
      <c r="A5385" t="s">
        <v>5304</v>
      </c>
      <c r="B5385">
        <v>377348</v>
      </c>
      <c r="C5385">
        <v>5762342</v>
      </c>
      <c r="D5385">
        <v>21</v>
      </c>
      <c r="E5385" t="s">
        <v>15</v>
      </c>
      <c r="F5385" t="s">
        <v>12412</v>
      </c>
      <c r="G5385">
        <v>8</v>
      </c>
      <c r="H5385" t="s">
        <v>766</v>
      </c>
      <c r="I5385" t="s">
        <v>304</v>
      </c>
      <c r="J5385" t="s">
        <v>767</v>
      </c>
      <c r="K5385" t="s">
        <v>20</v>
      </c>
      <c r="L5385" t="s">
        <v>12413</v>
      </c>
      <c r="M5385" s="3" t="str">
        <f>HYPERLINK("..\..\Imagery\ScannedPhotos\1999\CG99-195.5.jpg")</f>
        <v>..\..\Imagery\ScannedPhotos\1999\CG99-195.5.jpg</v>
      </c>
    </row>
    <row r="5386" spans="1:14" x14ac:dyDescent="0.25">
      <c r="A5386" t="s">
        <v>5304</v>
      </c>
      <c r="B5386">
        <v>377348</v>
      </c>
      <c r="C5386">
        <v>5762342</v>
      </c>
      <c r="D5386">
        <v>21</v>
      </c>
      <c r="E5386" t="s">
        <v>15</v>
      </c>
      <c r="F5386" t="s">
        <v>12414</v>
      </c>
      <c r="G5386">
        <v>8</v>
      </c>
      <c r="H5386" t="s">
        <v>766</v>
      </c>
      <c r="I5386" t="s">
        <v>195</v>
      </c>
      <c r="J5386" t="s">
        <v>767</v>
      </c>
      <c r="K5386" t="s">
        <v>20</v>
      </c>
      <c r="L5386" t="s">
        <v>12415</v>
      </c>
      <c r="M5386" s="3" t="str">
        <f>HYPERLINK("..\..\Imagery\ScannedPhotos\1999\CG99-195.6.jpg")</f>
        <v>..\..\Imagery\ScannedPhotos\1999\CG99-195.6.jpg</v>
      </c>
    </row>
    <row r="5387" spans="1:14" x14ac:dyDescent="0.25">
      <c r="A5387" t="s">
        <v>12416</v>
      </c>
      <c r="B5387">
        <v>374937</v>
      </c>
      <c r="C5387">
        <v>5764839</v>
      </c>
      <c r="D5387">
        <v>21</v>
      </c>
      <c r="E5387" t="s">
        <v>15</v>
      </c>
      <c r="F5387" t="s">
        <v>12417</v>
      </c>
      <c r="G5387">
        <v>1</v>
      </c>
      <c r="H5387" t="s">
        <v>4033</v>
      </c>
      <c r="I5387" t="s">
        <v>209</v>
      </c>
      <c r="J5387" t="s">
        <v>4034</v>
      </c>
      <c r="K5387" t="s">
        <v>20</v>
      </c>
      <c r="L5387" t="s">
        <v>6464</v>
      </c>
      <c r="M5387" s="3" t="str">
        <f>HYPERLINK("..\..\Imagery\ScannedPhotos\1999\CG99-196.jpg")</f>
        <v>..\..\Imagery\ScannedPhotos\1999\CG99-196.jpg</v>
      </c>
    </row>
    <row r="5388" spans="1:14" x14ac:dyDescent="0.25">
      <c r="A5388" t="s">
        <v>12418</v>
      </c>
      <c r="B5388">
        <v>386004</v>
      </c>
      <c r="C5388">
        <v>5815168</v>
      </c>
      <c r="D5388">
        <v>21</v>
      </c>
      <c r="E5388" t="s">
        <v>15</v>
      </c>
      <c r="F5388" t="s">
        <v>12419</v>
      </c>
      <c r="G5388">
        <v>1</v>
      </c>
      <c r="H5388" t="s">
        <v>4033</v>
      </c>
      <c r="I5388" t="s">
        <v>386</v>
      </c>
      <c r="J5388" t="s">
        <v>4034</v>
      </c>
      <c r="K5388" t="s">
        <v>56</v>
      </c>
      <c r="L5388" t="s">
        <v>12420</v>
      </c>
      <c r="M5388" s="3" t="str">
        <f>HYPERLINK("..\..\Imagery\ScannedPhotos\1999\CG99-220.jpg")</f>
        <v>..\..\Imagery\ScannedPhotos\1999\CG99-220.jpg</v>
      </c>
    </row>
    <row r="5389" spans="1:14" x14ac:dyDescent="0.25">
      <c r="A5389" t="s">
        <v>12421</v>
      </c>
      <c r="B5389">
        <v>379058</v>
      </c>
      <c r="C5389">
        <v>5803967</v>
      </c>
      <c r="D5389">
        <v>21</v>
      </c>
      <c r="E5389" t="s">
        <v>15</v>
      </c>
      <c r="F5389" t="s">
        <v>12422</v>
      </c>
      <c r="G5389">
        <v>1</v>
      </c>
      <c r="H5389" t="s">
        <v>4033</v>
      </c>
      <c r="I5389" t="s">
        <v>25</v>
      </c>
      <c r="J5389" t="s">
        <v>4034</v>
      </c>
      <c r="K5389" t="s">
        <v>56</v>
      </c>
      <c r="L5389" t="s">
        <v>776</v>
      </c>
      <c r="M5389" s="3" t="str">
        <f>HYPERLINK("..\..\Imagery\ScannedPhotos\1999\CG99-226.jpg")</f>
        <v>..\..\Imagery\ScannedPhotos\1999\CG99-226.jpg</v>
      </c>
    </row>
    <row r="5390" spans="1:14" x14ac:dyDescent="0.25">
      <c r="A5390" t="s">
        <v>12423</v>
      </c>
      <c r="B5390">
        <v>445193</v>
      </c>
      <c r="C5390">
        <v>6076079</v>
      </c>
      <c r="D5390">
        <v>21</v>
      </c>
      <c r="E5390" t="s">
        <v>15</v>
      </c>
      <c r="F5390" t="s">
        <v>12424</v>
      </c>
      <c r="G5390">
        <v>3</v>
      </c>
      <c r="H5390" t="s">
        <v>696</v>
      </c>
      <c r="I5390" t="s">
        <v>18</v>
      </c>
      <c r="J5390" t="s">
        <v>355</v>
      </c>
      <c r="K5390" t="s">
        <v>228</v>
      </c>
      <c r="L5390" t="s">
        <v>12425</v>
      </c>
      <c r="M5390" s="3" t="str">
        <f>HYPERLINK("..\..\Imagery\ScannedPhotos\1979\CG79-222.3E.jpg")</f>
        <v>..\..\Imagery\ScannedPhotos\1979\CG79-222.3E.jpg</v>
      </c>
      <c r="N5390" t="s">
        <v>1808</v>
      </c>
    </row>
    <row r="5391" spans="1:14" x14ac:dyDescent="0.25">
      <c r="A5391" t="s">
        <v>12426</v>
      </c>
      <c r="B5391">
        <v>435797</v>
      </c>
      <c r="C5391">
        <v>6080527</v>
      </c>
      <c r="D5391">
        <v>21</v>
      </c>
      <c r="E5391" t="s">
        <v>15</v>
      </c>
      <c r="F5391" t="s">
        <v>12427</v>
      </c>
      <c r="G5391">
        <v>1</v>
      </c>
      <c r="H5391" t="s">
        <v>696</v>
      </c>
      <c r="I5391" t="s">
        <v>94</v>
      </c>
      <c r="J5391" t="s">
        <v>355</v>
      </c>
      <c r="K5391" t="s">
        <v>228</v>
      </c>
      <c r="L5391" t="s">
        <v>12428</v>
      </c>
      <c r="M5391" s="3" t="str">
        <f>HYPERLINK("..\..\Imagery\ScannedPhotos\1979\CG79-231E.jpg")</f>
        <v>..\..\Imagery\ScannedPhotos\1979\CG79-231E.jpg</v>
      </c>
      <c r="N5391" t="s">
        <v>1808</v>
      </c>
    </row>
    <row r="5392" spans="1:14" x14ac:dyDescent="0.25">
      <c r="A5392" t="s">
        <v>12121</v>
      </c>
      <c r="B5392">
        <v>460966</v>
      </c>
      <c r="C5392">
        <v>6055150</v>
      </c>
      <c r="D5392">
        <v>21</v>
      </c>
      <c r="E5392" t="s">
        <v>15</v>
      </c>
      <c r="F5392" t="s">
        <v>12429</v>
      </c>
      <c r="G5392">
        <v>5</v>
      </c>
      <c r="H5392" t="s">
        <v>696</v>
      </c>
      <c r="I5392" t="s">
        <v>214</v>
      </c>
      <c r="J5392" t="s">
        <v>355</v>
      </c>
      <c r="K5392" t="s">
        <v>20</v>
      </c>
      <c r="L5392" t="s">
        <v>12430</v>
      </c>
      <c r="M5392" s="3" t="str">
        <f>HYPERLINK("..\..\Imagery\ScannedPhotos\1979\CG79-263.1cropped.jpg")</f>
        <v>..\..\Imagery\ScannedPhotos\1979\CG79-263.1cropped.jpg</v>
      </c>
      <c r="N5392" t="s">
        <v>4297</v>
      </c>
    </row>
    <row r="5393" spans="1:14" x14ac:dyDescent="0.25">
      <c r="A5393" t="s">
        <v>11319</v>
      </c>
      <c r="B5393">
        <v>466515</v>
      </c>
      <c r="C5393">
        <v>6056261</v>
      </c>
      <c r="D5393">
        <v>21</v>
      </c>
      <c r="E5393" t="s">
        <v>15</v>
      </c>
      <c r="F5393" t="s">
        <v>12431</v>
      </c>
      <c r="G5393">
        <v>2</v>
      </c>
      <c r="H5393" t="s">
        <v>696</v>
      </c>
      <c r="I5393" t="s">
        <v>114</v>
      </c>
      <c r="J5393" t="s">
        <v>355</v>
      </c>
      <c r="K5393" t="s">
        <v>56</v>
      </c>
      <c r="L5393" t="s">
        <v>1834</v>
      </c>
      <c r="M5393" s="3" t="str">
        <f>HYPERLINK("..\..\Imagery\ScannedPhotos\1979\CG79-268.1cropped.jpg")</f>
        <v>..\..\Imagery\ScannedPhotos\1979\CG79-268.1cropped.jpg</v>
      </c>
      <c r="N5393" t="s">
        <v>4297</v>
      </c>
    </row>
    <row r="5394" spans="1:14" x14ac:dyDescent="0.25">
      <c r="A5394" t="s">
        <v>12432</v>
      </c>
      <c r="B5394">
        <v>506604</v>
      </c>
      <c r="C5394">
        <v>6034677</v>
      </c>
      <c r="D5394">
        <v>21</v>
      </c>
      <c r="E5394" t="s">
        <v>15</v>
      </c>
      <c r="F5394" t="s">
        <v>12433</v>
      </c>
      <c r="G5394">
        <v>1</v>
      </c>
      <c r="H5394" t="s">
        <v>835</v>
      </c>
      <c r="I5394" t="s">
        <v>94</v>
      </c>
      <c r="J5394" t="s">
        <v>423</v>
      </c>
      <c r="K5394" t="s">
        <v>20</v>
      </c>
      <c r="L5394" t="s">
        <v>12434</v>
      </c>
      <c r="M5394" s="3" t="str">
        <f>HYPERLINK("..\..\Imagery\ScannedPhotos\1979\CG79-345cropped.jpg")</f>
        <v>..\..\Imagery\ScannedPhotos\1979\CG79-345cropped.jpg</v>
      </c>
      <c r="N5394" t="s">
        <v>4297</v>
      </c>
    </row>
    <row r="5395" spans="1:14" x14ac:dyDescent="0.25">
      <c r="A5395" t="s">
        <v>833</v>
      </c>
      <c r="B5395">
        <v>490651</v>
      </c>
      <c r="C5395">
        <v>6039283</v>
      </c>
      <c r="D5395">
        <v>21</v>
      </c>
      <c r="E5395" t="s">
        <v>15</v>
      </c>
      <c r="F5395" t="s">
        <v>12435</v>
      </c>
      <c r="G5395">
        <v>6</v>
      </c>
      <c r="H5395" t="s">
        <v>835</v>
      </c>
      <c r="I5395" t="s">
        <v>143</v>
      </c>
      <c r="J5395" t="s">
        <v>423</v>
      </c>
      <c r="K5395" t="s">
        <v>56</v>
      </c>
      <c r="L5395" t="s">
        <v>12436</v>
      </c>
      <c r="M5395" s="3" t="str">
        <f>HYPERLINK("..\..\Imagery\ScannedPhotos\1979\CG79-359.1cropped.jpg")</f>
        <v>..\..\Imagery\ScannedPhotos\1979\CG79-359.1cropped.jpg</v>
      </c>
      <c r="N5395" t="s">
        <v>4297</v>
      </c>
    </row>
    <row r="5396" spans="1:14" x14ac:dyDescent="0.25">
      <c r="A5396" t="s">
        <v>833</v>
      </c>
      <c r="B5396">
        <v>490651</v>
      </c>
      <c r="C5396">
        <v>6039283</v>
      </c>
      <c r="D5396">
        <v>21</v>
      </c>
      <c r="E5396" t="s">
        <v>15</v>
      </c>
      <c r="F5396" t="s">
        <v>12437</v>
      </c>
      <c r="G5396">
        <v>6</v>
      </c>
      <c r="H5396" t="s">
        <v>835</v>
      </c>
      <c r="I5396" t="s">
        <v>401</v>
      </c>
      <c r="J5396" t="s">
        <v>423</v>
      </c>
      <c r="K5396" t="s">
        <v>20</v>
      </c>
      <c r="L5396" t="s">
        <v>12438</v>
      </c>
      <c r="M5396" s="3" t="str">
        <f>HYPERLINK("..\..\Imagery\ScannedPhotos\1979\CG79-359.6cropped.jpg")</f>
        <v>..\..\Imagery\ScannedPhotos\1979\CG79-359.6cropped.jpg</v>
      </c>
      <c r="N5396" t="s">
        <v>4297</v>
      </c>
    </row>
    <row r="5397" spans="1:14" x14ac:dyDescent="0.25">
      <c r="A5397" t="s">
        <v>12439</v>
      </c>
      <c r="B5397">
        <v>404687</v>
      </c>
      <c r="C5397">
        <v>6057556</v>
      </c>
      <c r="D5397">
        <v>21</v>
      </c>
      <c r="E5397" t="s">
        <v>15</v>
      </c>
      <c r="F5397" t="s">
        <v>12440</v>
      </c>
      <c r="G5397">
        <v>1</v>
      </c>
      <c r="K5397" t="s">
        <v>56</v>
      </c>
      <c r="L5397" t="s">
        <v>12441</v>
      </c>
      <c r="M5397" s="3" t="str">
        <f>HYPERLINK("..\..\Imagery\ScannedPhotos\1979\CG79-718cropped.jpg")</f>
        <v>..\..\Imagery\ScannedPhotos\1979\CG79-718cropped.jpg</v>
      </c>
      <c r="N5397" t="s">
        <v>4297</v>
      </c>
    </row>
    <row r="5398" spans="1:14" x14ac:dyDescent="0.25">
      <c r="A5398" t="s">
        <v>5500</v>
      </c>
      <c r="B5398">
        <v>461942</v>
      </c>
      <c r="C5398">
        <v>6030351</v>
      </c>
      <c r="D5398">
        <v>21</v>
      </c>
      <c r="E5398" t="s">
        <v>15</v>
      </c>
      <c r="F5398" t="s">
        <v>12442</v>
      </c>
      <c r="G5398">
        <v>2</v>
      </c>
      <c r="H5398" t="s">
        <v>5502</v>
      </c>
      <c r="I5398" t="s">
        <v>147</v>
      </c>
      <c r="J5398" t="s">
        <v>691</v>
      </c>
      <c r="K5398" t="s">
        <v>228</v>
      </c>
      <c r="L5398" t="s">
        <v>12443</v>
      </c>
      <c r="M5398" s="3" t="str">
        <f>HYPERLINK("..\..\Imagery\ScannedPhotos\1979\CG79-762.2E.jpg")</f>
        <v>..\..\Imagery\ScannedPhotos\1979\CG79-762.2E.jpg</v>
      </c>
      <c r="N5398" t="s">
        <v>1808</v>
      </c>
    </row>
    <row r="5399" spans="1:14" x14ac:dyDescent="0.25">
      <c r="A5399" t="s">
        <v>12444</v>
      </c>
      <c r="B5399">
        <v>460973</v>
      </c>
      <c r="C5399">
        <v>6027029</v>
      </c>
      <c r="D5399">
        <v>21</v>
      </c>
      <c r="E5399" t="s">
        <v>15</v>
      </c>
      <c r="F5399" t="s">
        <v>12445</v>
      </c>
      <c r="G5399">
        <v>1</v>
      </c>
      <c r="H5399" t="s">
        <v>2733</v>
      </c>
      <c r="I5399" t="s">
        <v>401</v>
      </c>
      <c r="J5399" t="s">
        <v>814</v>
      </c>
      <c r="K5399" t="s">
        <v>228</v>
      </c>
      <c r="L5399" t="s">
        <v>12446</v>
      </c>
      <c r="M5399" s="3" t="str">
        <f>HYPERLINK("..\..\Imagery\ScannedPhotos\1979\CG79-782E.jpg")</f>
        <v>..\..\Imagery\ScannedPhotos\1979\CG79-782E.jpg</v>
      </c>
      <c r="N5399" t="s">
        <v>1808</v>
      </c>
    </row>
    <row r="5400" spans="1:14" x14ac:dyDescent="0.25">
      <c r="A5400" t="s">
        <v>12447</v>
      </c>
      <c r="B5400">
        <v>456004</v>
      </c>
      <c r="C5400">
        <v>6025440</v>
      </c>
      <c r="D5400">
        <v>21</v>
      </c>
      <c r="E5400" t="s">
        <v>15</v>
      </c>
      <c r="F5400" t="s">
        <v>12448</v>
      </c>
      <c r="G5400">
        <v>1</v>
      </c>
      <c r="H5400" t="s">
        <v>5502</v>
      </c>
      <c r="I5400" t="s">
        <v>122</v>
      </c>
      <c r="J5400" t="s">
        <v>691</v>
      </c>
      <c r="K5400" t="s">
        <v>228</v>
      </c>
      <c r="L5400" t="s">
        <v>12449</v>
      </c>
      <c r="M5400" s="3" t="str">
        <f>HYPERLINK("..\..\Imagery\ScannedPhotos\1979\CG79-788E.jpg")</f>
        <v>..\..\Imagery\ScannedPhotos\1979\CG79-788E.jpg</v>
      </c>
      <c r="N5400" t="s">
        <v>1808</v>
      </c>
    </row>
    <row r="5401" spans="1:14" x14ac:dyDescent="0.25">
      <c r="A5401" t="s">
        <v>2838</v>
      </c>
      <c r="B5401">
        <v>449250</v>
      </c>
      <c r="C5401">
        <v>6024859</v>
      </c>
      <c r="D5401">
        <v>21</v>
      </c>
      <c r="E5401" t="s">
        <v>15</v>
      </c>
      <c r="F5401" t="s">
        <v>12450</v>
      </c>
      <c r="G5401">
        <v>2</v>
      </c>
      <c r="H5401" t="s">
        <v>1862</v>
      </c>
      <c r="I5401" t="s">
        <v>304</v>
      </c>
      <c r="J5401" t="s">
        <v>1863</v>
      </c>
      <c r="K5401" t="s">
        <v>20</v>
      </c>
      <c r="L5401" t="s">
        <v>12451</v>
      </c>
      <c r="M5401" s="3" t="str">
        <f>HYPERLINK("..\..\Imagery\ScannedPhotos\1979\CG79-794.2cropped.jpg")</f>
        <v>..\..\Imagery\ScannedPhotos\1979\CG79-794.2cropped.jpg</v>
      </c>
      <c r="N5401" t="s">
        <v>4297</v>
      </c>
    </row>
    <row r="5402" spans="1:14" x14ac:dyDescent="0.25">
      <c r="A5402" t="s">
        <v>12452</v>
      </c>
      <c r="B5402">
        <v>579806</v>
      </c>
      <c r="C5402">
        <v>5820180</v>
      </c>
      <c r="D5402">
        <v>21</v>
      </c>
      <c r="E5402" t="s">
        <v>15</v>
      </c>
      <c r="F5402" t="s">
        <v>12453</v>
      </c>
      <c r="G5402">
        <v>1</v>
      </c>
      <c r="H5402" t="s">
        <v>10328</v>
      </c>
      <c r="I5402" t="s">
        <v>52</v>
      </c>
      <c r="J5402" t="s">
        <v>10329</v>
      </c>
      <c r="K5402" t="s">
        <v>20</v>
      </c>
      <c r="L5402" t="s">
        <v>12454</v>
      </c>
      <c r="M5402" s="3" t="str">
        <f>HYPERLINK("..\..\Imagery\ScannedPhotos\1986\MN86-440.jpg")</f>
        <v>..\..\Imagery\ScannedPhotos\1986\MN86-440.jpg</v>
      </c>
    </row>
    <row r="5403" spans="1:14" x14ac:dyDescent="0.25">
      <c r="A5403" t="s">
        <v>12455</v>
      </c>
      <c r="B5403">
        <v>581537</v>
      </c>
      <c r="C5403">
        <v>5819839</v>
      </c>
      <c r="D5403">
        <v>21</v>
      </c>
      <c r="E5403" t="s">
        <v>15</v>
      </c>
      <c r="F5403" t="s">
        <v>12456</v>
      </c>
      <c r="G5403">
        <v>1</v>
      </c>
      <c r="H5403" t="s">
        <v>6213</v>
      </c>
      <c r="I5403" t="s">
        <v>281</v>
      </c>
      <c r="J5403" t="s">
        <v>3202</v>
      </c>
      <c r="K5403" t="s">
        <v>20</v>
      </c>
      <c r="L5403" t="s">
        <v>12457</v>
      </c>
      <c r="M5403" s="3" t="str">
        <f>HYPERLINK("..\..\Imagery\ScannedPhotos\1986\MN86-443.jpg")</f>
        <v>..\..\Imagery\ScannedPhotos\1986\MN86-443.jpg</v>
      </c>
    </row>
    <row r="5404" spans="1:14" x14ac:dyDescent="0.25">
      <c r="A5404" t="s">
        <v>12458</v>
      </c>
      <c r="B5404">
        <v>380684</v>
      </c>
      <c r="C5404">
        <v>5798903</v>
      </c>
      <c r="D5404">
        <v>21</v>
      </c>
      <c r="E5404" t="s">
        <v>15</v>
      </c>
      <c r="F5404" t="s">
        <v>12459</v>
      </c>
      <c r="G5404">
        <v>1</v>
      </c>
      <c r="H5404" t="s">
        <v>4033</v>
      </c>
      <c r="I5404" t="s">
        <v>360</v>
      </c>
      <c r="J5404" t="s">
        <v>4034</v>
      </c>
      <c r="K5404" t="s">
        <v>56</v>
      </c>
      <c r="L5404" t="s">
        <v>776</v>
      </c>
      <c r="M5404" s="3" t="str">
        <f>HYPERLINK("..\..\Imagery\ScannedPhotos\1999\CG99-227.jpg")</f>
        <v>..\..\Imagery\ScannedPhotos\1999\CG99-227.jpg</v>
      </c>
    </row>
    <row r="5405" spans="1:14" x14ac:dyDescent="0.25">
      <c r="A5405" t="s">
        <v>12460</v>
      </c>
      <c r="B5405">
        <v>381418</v>
      </c>
      <c r="C5405">
        <v>5797124</v>
      </c>
      <c r="D5405">
        <v>21</v>
      </c>
      <c r="E5405" t="s">
        <v>15</v>
      </c>
      <c r="F5405" t="s">
        <v>12461</v>
      </c>
      <c r="G5405">
        <v>1</v>
      </c>
      <c r="H5405" t="s">
        <v>4033</v>
      </c>
      <c r="I5405" t="s">
        <v>647</v>
      </c>
      <c r="J5405" t="s">
        <v>4034</v>
      </c>
      <c r="K5405" t="s">
        <v>56</v>
      </c>
      <c r="L5405" t="s">
        <v>2632</v>
      </c>
      <c r="M5405" s="3" t="str">
        <f>HYPERLINK("..\..\Imagery\ScannedPhotos\1999\CG99-228.jpg")</f>
        <v>..\..\Imagery\ScannedPhotos\1999\CG99-228.jpg</v>
      </c>
    </row>
    <row r="5406" spans="1:14" x14ac:dyDescent="0.25">
      <c r="A5406" t="s">
        <v>12462</v>
      </c>
      <c r="B5406">
        <v>588276</v>
      </c>
      <c r="C5406">
        <v>5787814</v>
      </c>
      <c r="D5406">
        <v>21</v>
      </c>
      <c r="E5406" t="s">
        <v>15</v>
      </c>
      <c r="F5406" t="s">
        <v>12463</v>
      </c>
      <c r="G5406">
        <v>1</v>
      </c>
      <c r="H5406" t="s">
        <v>1051</v>
      </c>
      <c r="I5406" t="s">
        <v>281</v>
      </c>
      <c r="J5406" t="s">
        <v>1052</v>
      </c>
      <c r="K5406" t="s">
        <v>20</v>
      </c>
      <c r="L5406" t="s">
        <v>12464</v>
      </c>
      <c r="M5406" s="3" t="str">
        <f>HYPERLINK("..\..\Imagery\ScannedPhotos\1987\VN87-442.jpg")</f>
        <v>..\..\Imagery\ScannedPhotos\1987\VN87-442.jpg</v>
      </c>
    </row>
    <row r="5407" spans="1:14" x14ac:dyDescent="0.25">
      <c r="A5407" t="s">
        <v>7619</v>
      </c>
      <c r="B5407">
        <v>491550</v>
      </c>
      <c r="C5407">
        <v>5797907</v>
      </c>
      <c r="D5407">
        <v>21</v>
      </c>
      <c r="E5407" t="s">
        <v>15</v>
      </c>
      <c r="F5407" t="s">
        <v>12465</v>
      </c>
      <c r="G5407">
        <v>5</v>
      </c>
      <c r="H5407" t="s">
        <v>5587</v>
      </c>
      <c r="I5407" t="s">
        <v>30</v>
      </c>
      <c r="J5407" t="s">
        <v>2341</v>
      </c>
      <c r="K5407" t="s">
        <v>20</v>
      </c>
      <c r="L5407" t="s">
        <v>7621</v>
      </c>
      <c r="M5407" s="3" t="str">
        <f>HYPERLINK("..\..\Imagery\ScannedPhotos\1992\VN92-118.3.jpg")</f>
        <v>..\..\Imagery\ScannedPhotos\1992\VN92-118.3.jpg</v>
      </c>
    </row>
    <row r="5408" spans="1:14" x14ac:dyDescent="0.25">
      <c r="A5408" t="s">
        <v>7619</v>
      </c>
      <c r="B5408">
        <v>491550</v>
      </c>
      <c r="C5408">
        <v>5797907</v>
      </c>
      <c r="D5408">
        <v>21</v>
      </c>
      <c r="E5408" t="s">
        <v>15</v>
      </c>
      <c r="F5408" t="s">
        <v>12466</v>
      </c>
      <c r="G5408">
        <v>5</v>
      </c>
      <c r="H5408" t="s">
        <v>5587</v>
      </c>
      <c r="I5408" t="s">
        <v>114</v>
      </c>
      <c r="J5408" t="s">
        <v>2341</v>
      </c>
      <c r="K5408" t="s">
        <v>56</v>
      </c>
      <c r="L5408" t="s">
        <v>12467</v>
      </c>
      <c r="M5408" s="3" t="str">
        <f>HYPERLINK("..\..\Imagery\ScannedPhotos\1992\VN92-118.4.jpg")</f>
        <v>..\..\Imagery\ScannedPhotos\1992\VN92-118.4.jpg</v>
      </c>
    </row>
    <row r="5409" spans="1:14" x14ac:dyDescent="0.25">
      <c r="A5409" t="s">
        <v>7619</v>
      </c>
      <c r="B5409">
        <v>491550</v>
      </c>
      <c r="C5409">
        <v>5797907</v>
      </c>
      <c r="D5409">
        <v>21</v>
      </c>
      <c r="E5409" t="s">
        <v>15</v>
      </c>
      <c r="F5409" t="s">
        <v>12468</v>
      </c>
      <c r="G5409">
        <v>5</v>
      </c>
      <c r="H5409" t="s">
        <v>5587</v>
      </c>
      <c r="I5409" t="s">
        <v>360</v>
      </c>
      <c r="J5409" t="s">
        <v>2341</v>
      </c>
      <c r="K5409" t="s">
        <v>20</v>
      </c>
      <c r="L5409" t="s">
        <v>7621</v>
      </c>
      <c r="M5409" s="3" t="str">
        <f>HYPERLINK("..\..\Imagery\ScannedPhotos\1992\VN92-118.1.jpg")</f>
        <v>..\..\Imagery\ScannedPhotos\1992\VN92-118.1.jpg</v>
      </c>
    </row>
    <row r="5410" spans="1:14" x14ac:dyDescent="0.25">
      <c r="A5410" t="s">
        <v>8736</v>
      </c>
      <c r="B5410">
        <v>405577</v>
      </c>
      <c r="C5410">
        <v>5911349</v>
      </c>
      <c r="D5410">
        <v>21</v>
      </c>
      <c r="E5410" t="s">
        <v>15</v>
      </c>
      <c r="F5410" t="s">
        <v>12469</v>
      </c>
      <c r="G5410">
        <v>5</v>
      </c>
      <c r="H5410" t="s">
        <v>754</v>
      </c>
      <c r="I5410" t="s">
        <v>304</v>
      </c>
      <c r="J5410" t="s">
        <v>563</v>
      </c>
      <c r="K5410" t="s">
        <v>20</v>
      </c>
      <c r="L5410" t="s">
        <v>12470</v>
      </c>
      <c r="M5410" s="3" t="str">
        <f>HYPERLINK("..\..\Imagery\ScannedPhotos\1995\CG95-095.2.jpg")</f>
        <v>..\..\Imagery\ScannedPhotos\1995\CG95-095.2.jpg</v>
      </c>
    </row>
    <row r="5411" spans="1:14" x14ac:dyDescent="0.25">
      <c r="A5411" t="s">
        <v>12471</v>
      </c>
      <c r="B5411">
        <v>422138</v>
      </c>
      <c r="C5411">
        <v>5819988</v>
      </c>
      <c r="D5411">
        <v>21</v>
      </c>
      <c r="E5411" t="s">
        <v>15</v>
      </c>
      <c r="F5411" t="s">
        <v>12472</v>
      </c>
      <c r="G5411">
        <v>1</v>
      </c>
      <c r="H5411" t="s">
        <v>1397</v>
      </c>
      <c r="I5411" t="s">
        <v>304</v>
      </c>
      <c r="J5411" t="s">
        <v>771</v>
      </c>
      <c r="K5411" t="s">
        <v>56</v>
      </c>
      <c r="L5411" t="s">
        <v>12473</v>
      </c>
      <c r="M5411" s="3" t="str">
        <f>HYPERLINK("..\..\Imagery\ScannedPhotos\1997\CG97-196.jpg")</f>
        <v>..\..\Imagery\ScannedPhotos\1997\CG97-196.jpg</v>
      </c>
    </row>
    <row r="5412" spans="1:14" x14ac:dyDescent="0.25">
      <c r="A5412" t="s">
        <v>12474</v>
      </c>
      <c r="B5412">
        <v>402818</v>
      </c>
      <c r="C5412">
        <v>5825169</v>
      </c>
      <c r="D5412">
        <v>21</v>
      </c>
      <c r="E5412" t="s">
        <v>15</v>
      </c>
      <c r="F5412" t="s">
        <v>12475</v>
      </c>
      <c r="G5412">
        <v>1</v>
      </c>
      <c r="H5412" t="s">
        <v>1397</v>
      </c>
      <c r="I5412" t="s">
        <v>195</v>
      </c>
      <c r="J5412" t="s">
        <v>771</v>
      </c>
      <c r="K5412" t="s">
        <v>20</v>
      </c>
      <c r="L5412" t="s">
        <v>12476</v>
      </c>
      <c r="M5412" s="3" t="str">
        <f>HYPERLINK("..\..\Imagery\ScannedPhotos\1997\CG97-203.jpg")</f>
        <v>..\..\Imagery\ScannedPhotos\1997\CG97-203.jpg</v>
      </c>
    </row>
    <row r="5413" spans="1:14" x14ac:dyDescent="0.25">
      <c r="A5413" t="s">
        <v>764</v>
      </c>
      <c r="B5413">
        <v>400988</v>
      </c>
      <c r="C5413">
        <v>5830857</v>
      </c>
      <c r="D5413">
        <v>21</v>
      </c>
      <c r="E5413" t="s">
        <v>15</v>
      </c>
      <c r="F5413" t="s">
        <v>12477</v>
      </c>
      <c r="G5413">
        <v>4</v>
      </c>
      <c r="H5413" t="s">
        <v>770</v>
      </c>
      <c r="I5413" t="s">
        <v>386</v>
      </c>
      <c r="J5413" t="s">
        <v>771</v>
      </c>
      <c r="K5413" t="s">
        <v>56</v>
      </c>
      <c r="L5413" t="s">
        <v>772</v>
      </c>
      <c r="M5413" s="3" t="str">
        <f>HYPERLINK("..\..\Imagery\ScannedPhotos\1997\CG97-220.2.jpg")</f>
        <v>..\..\Imagery\ScannedPhotos\1997\CG97-220.2.jpg</v>
      </c>
    </row>
    <row r="5414" spans="1:14" x14ac:dyDescent="0.25">
      <c r="A5414" t="s">
        <v>764</v>
      </c>
      <c r="B5414">
        <v>400988</v>
      </c>
      <c r="C5414">
        <v>5830857</v>
      </c>
      <c r="D5414">
        <v>21</v>
      </c>
      <c r="E5414" t="s">
        <v>15</v>
      </c>
      <c r="F5414" t="s">
        <v>12478</v>
      </c>
      <c r="G5414">
        <v>4</v>
      </c>
      <c r="H5414" t="s">
        <v>770</v>
      </c>
      <c r="I5414" t="s">
        <v>217</v>
      </c>
      <c r="J5414" t="s">
        <v>771</v>
      </c>
      <c r="K5414" t="s">
        <v>56</v>
      </c>
      <c r="L5414" t="s">
        <v>12479</v>
      </c>
      <c r="M5414" s="3" t="str">
        <f>HYPERLINK("..\..\Imagery\ScannedPhotos\1997\CG97-220.3.jpg")</f>
        <v>..\..\Imagery\ScannedPhotos\1997\CG97-220.3.jpg</v>
      </c>
    </row>
    <row r="5415" spans="1:14" x14ac:dyDescent="0.25">
      <c r="A5415" t="s">
        <v>6167</v>
      </c>
      <c r="B5415">
        <v>335193</v>
      </c>
      <c r="C5415">
        <v>5859151</v>
      </c>
      <c r="D5415">
        <v>21</v>
      </c>
      <c r="E5415" t="s">
        <v>15</v>
      </c>
      <c r="F5415" t="s">
        <v>12480</v>
      </c>
      <c r="G5415">
        <v>5</v>
      </c>
      <c r="H5415" t="s">
        <v>7363</v>
      </c>
      <c r="I5415" t="s">
        <v>79</v>
      </c>
      <c r="J5415" t="s">
        <v>7364</v>
      </c>
      <c r="K5415" t="s">
        <v>20</v>
      </c>
      <c r="L5415" t="s">
        <v>12481</v>
      </c>
      <c r="M5415" s="3" t="str">
        <f>HYPERLINK("..\..\Imagery\ScannedPhotos\1998\CG98-098.4.jpg")</f>
        <v>..\..\Imagery\ScannedPhotos\1998\CG98-098.4.jpg</v>
      </c>
    </row>
    <row r="5416" spans="1:14" x14ac:dyDescent="0.25">
      <c r="A5416" t="s">
        <v>12482</v>
      </c>
      <c r="B5416">
        <v>340397</v>
      </c>
      <c r="C5416">
        <v>5855771</v>
      </c>
      <c r="D5416">
        <v>21</v>
      </c>
      <c r="E5416" t="s">
        <v>15</v>
      </c>
      <c r="F5416" t="s">
        <v>12483</v>
      </c>
      <c r="G5416">
        <v>1</v>
      </c>
      <c r="H5416" t="s">
        <v>259</v>
      </c>
      <c r="I5416" t="s">
        <v>25</v>
      </c>
      <c r="J5416" t="s">
        <v>260</v>
      </c>
      <c r="K5416" t="s">
        <v>56</v>
      </c>
      <c r="L5416" t="s">
        <v>12484</v>
      </c>
      <c r="M5416" s="3" t="str">
        <f>HYPERLINK("..\..\Imagery\ScannedPhotos\1998\CG98-100.jpg")</f>
        <v>..\..\Imagery\ScannedPhotos\1998\CG98-100.jpg</v>
      </c>
    </row>
    <row r="5417" spans="1:14" x14ac:dyDescent="0.25">
      <c r="A5417" t="s">
        <v>12485</v>
      </c>
      <c r="B5417">
        <v>350594</v>
      </c>
      <c r="C5417">
        <v>5854325</v>
      </c>
      <c r="D5417">
        <v>21</v>
      </c>
      <c r="E5417" t="s">
        <v>15</v>
      </c>
      <c r="F5417" t="s">
        <v>12486</v>
      </c>
      <c r="G5417">
        <v>1</v>
      </c>
      <c r="H5417" t="s">
        <v>259</v>
      </c>
      <c r="I5417" t="s">
        <v>360</v>
      </c>
      <c r="J5417" t="s">
        <v>260</v>
      </c>
      <c r="K5417" t="s">
        <v>56</v>
      </c>
      <c r="L5417" t="s">
        <v>7006</v>
      </c>
      <c r="M5417" s="3" t="str">
        <f>HYPERLINK("..\..\Imagery\ScannedPhotos\1998\CG98-102.jpg")</f>
        <v>..\..\Imagery\ScannedPhotos\1998\CG98-102.jpg</v>
      </c>
    </row>
    <row r="5418" spans="1:14" x14ac:dyDescent="0.25">
      <c r="A5418" t="s">
        <v>12487</v>
      </c>
      <c r="B5418">
        <v>326432</v>
      </c>
      <c r="C5418">
        <v>5859151</v>
      </c>
      <c r="D5418">
        <v>21</v>
      </c>
      <c r="E5418" t="s">
        <v>15</v>
      </c>
      <c r="F5418" t="s">
        <v>12488</v>
      </c>
      <c r="G5418">
        <v>1</v>
      </c>
      <c r="H5418" t="s">
        <v>259</v>
      </c>
      <c r="I5418" t="s">
        <v>647</v>
      </c>
      <c r="J5418" t="s">
        <v>260</v>
      </c>
      <c r="K5418" t="s">
        <v>56</v>
      </c>
      <c r="L5418" t="s">
        <v>43</v>
      </c>
      <c r="M5418" s="3" t="str">
        <f>HYPERLINK("..\..\Imagery\ScannedPhotos\1998\CG98-110.jpg")</f>
        <v>..\..\Imagery\ScannedPhotos\1998\CG98-110.jpg</v>
      </c>
    </row>
    <row r="5419" spans="1:14" x14ac:dyDescent="0.25">
      <c r="A5419" t="s">
        <v>12489</v>
      </c>
      <c r="B5419">
        <v>356400</v>
      </c>
      <c r="C5419">
        <v>5845000</v>
      </c>
      <c r="D5419">
        <v>21</v>
      </c>
      <c r="E5419" t="s">
        <v>15</v>
      </c>
      <c r="F5419" t="s">
        <v>12490</v>
      </c>
      <c r="G5419">
        <v>2</v>
      </c>
      <c r="H5419" t="s">
        <v>259</v>
      </c>
      <c r="I5419" t="s">
        <v>114</v>
      </c>
      <c r="J5419" t="s">
        <v>260</v>
      </c>
      <c r="K5419" t="s">
        <v>20</v>
      </c>
      <c r="L5419" t="s">
        <v>12491</v>
      </c>
      <c r="M5419" s="3" t="str">
        <f>HYPERLINK("..\..\Imagery\ScannedPhotos\1998\CG98-119.2.jpg")</f>
        <v>..\..\Imagery\ScannedPhotos\1998\CG98-119.2.jpg</v>
      </c>
    </row>
    <row r="5420" spans="1:14" x14ac:dyDescent="0.25">
      <c r="A5420" t="s">
        <v>12492</v>
      </c>
      <c r="B5420">
        <v>352939</v>
      </c>
      <c r="C5420">
        <v>5842895</v>
      </c>
      <c r="D5420">
        <v>21</v>
      </c>
      <c r="E5420" t="s">
        <v>15</v>
      </c>
      <c r="F5420" t="s">
        <v>12493</v>
      </c>
      <c r="G5420">
        <v>1</v>
      </c>
      <c r="H5420" t="s">
        <v>259</v>
      </c>
      <c r="I5420" t="s">
        <v>119</v>
      </c>
      <c r="J5420" t="s">
        <v>260</v>
      </c>
      <c r="K5420" t="s">
        <v>56</v>
      </c>
      <c r="L5420" t="s">
        <v>12494</v>
      </c>
      <c r="M5420" s="3" t="str">
        <f>HYPERLINK("..\..\Imagery\ScannedPhotos\1998\CG98-120.jpg")</f>
        <v>..\..\Imagery\ScannedPhotos\1998\CG98-120.jpg</v>
      </c>
    </row>
    <row r="5421" spans="1:14" x14ac:dyDescent="0.25">
      <c r="A5421" t="s">
        <v>12495</v>
      </c>
      <c r="B5421">
        <v>345385</v>
      </c>
      <c r="C5421">
        <v>5843519</v>
      </c>
      <c r="D5421">
        <v>21</v>
      </c>
      <c r="E5421" t="s">
        <v>15</v>
      </c>
      <c r="F5421" t="s">
        <v>12496</v>
      </c>
      <c r="G5421">
        <v>1</v>
      </c>
      <c r="H5421" t="s">
        <v>259</v>
      </c>
      <c r="I5421" t="s">
        <v>122</v>
      </c>
      <c r="J5421" t="s">
        <v>260</v>
      </c>
      <c r="K5421" t="s">
        <v>56</v>
      </c>
      <c r="L5421" t="s">
        <v>12497</v>
      </c>
      <c r="M5421" s="3" t="str">
        <f>HYPERLINK("..\..\Imagery\ScannedPhotos\1998\CG98-122.jpg")</f>
        <v>..\..\Imagery\ScannedPhotos\1998\CG98-122.jpg</v>
      </c>
    </row>
    <row r="5422" spans="1:14" x14ac:dyDescent="0.25">
      <c r="A5422" t="s">
        <v>674</v>
      </c>
      <c r="B5422">
        <v>491133</v>
      </c>
      <c r="C5422">
        <v>5944222</v>
      </c>
      <c r="D5422">
        <v>21</v>
      </c>
      <c r="E5422" t="s">
        <v>15</v>
      </c>
      <c r="F5422" t="s">
        <v>12498</v>
      </c>
      <c r="G5422">
        <v>4</v>
      </c>
      <c r="H5422" t="s">
        <v>142</v>
      </c>
      <c r="I5422" t="s">
        <v>409</v>
      </c>
      <c r="J5422" t="s">
        <v>144</v>
      </c>
      <c r="K5422" t="s">
        <v>20</v>
      </c>
      <c r="L5422" t="s">
        <v>676</v>
      </c>
      <c r="M5422" s="3" t="str">
        <f>HYPERLINK("..\..\Imagery\ScannedPhotos\1977\MC77-035.4cropped.jpg")</f>
        <v>..\..\Imagery\ScannedPhotos\1977\MC77-035.4cropped.jpg</v>
      </c>
      <c r="N5422" t="s">
        <v>4297</v>
      </c>
    </row>
    <row r="5423" spans="1:14" x14ac:dyDescent="0.25">
      <c r="A5423" t="s">
        <v>6206</v>
      </c>
      <c r="B5423">
        <v>494804</v>
      </c>
      <c r="C5423">
        <v>5967358</v>
      </c>
      <c r="D5423">
        <v>21</v>
      </c>
      <c r="E5423" t="s">
        <v>15</v>
      </c>
      <c r="F5423" t="s">
        <v>12499</v>
      </c>
      <c r="G5423">
        <v>2</v>
      </c>
      <c r="H5423" t="s">
        <v>1964</v>
      </c>
      <c r="I5423" t="s">
        <v>126</v>
      </c>
      <c r="J5423" t="s">
        <v>1965</v>
      </c>
      <c r="K5423" t="s">
        <v>20</v>
      </c>
      <c r="L5423" t="s">
        <v>6208</v>
      </c>
      <c r="M5423" s="3" t="str">
        <f>HYPERLINK("..\..\Imagery\ScannedPhotos\1977\MC77-236.2E.jpg")</f>
        <v>..\..\Imagery\ScannedPhotos\1977\MC77-236.2E.jpg</v>
      </c>
      <c r="N5423" t="s">
        <v>1808</v>
      </c>
    </row>
    <row r="5424" spans="1:14" x14ac:dyDescent="0.25">
      <c r="A5424" t="s">
        <v>3663</v>
      </c>
      <c r="B5424">
        <v>498189</v>
      </c>
      <c r="C5424">
        <v>5966621</v>
      </c>
      <c r="D5424">
        <v>21</v>
      </c>
      <c r="E5424" t="s">
        <v>15</v>
      </c>
      <c r="F5424" t="s">
        <v>12500</v>
      </c>
      <c r="G5424">
        <v>3</v>
      </c>
      <c r="H5424" t="s">
        <v>1964</v>
      </c>
      <c r="I5424" t="s">
        <v>108</v>
      </c>
      <c r="J5424" t="s">
        <v>1965</v>
      </c>
      <c r="K5424" t="s">
        <v>228</v>
      </c>
      <c r="L5424" t="s">
        <v>3667</v>
      </c>
      <c r="M5424" s="3" t="str">
        <f>HYPERLINK("..\..\Imagery\ScannedPhotos\1977\MC77-237.1E.jpg")</f>
        <v>..\..\Imagery\ScannedPhotos\1977\MC77-237.1E.jpg</v>
      </c>
      <c r="N5424" t="s">
        <v>1808</v>
      </c>
    </row>
    <row r="5425" spans="1:14" x14ac:dyDescent="0.25">
      <c r="A5425" t="s">
        <v>4741</v>
      </c>
      <c r="B5425">
        <v>495032</v>
      </c>
      <c r="C5425">
        <v>5968359</v>
      </c>
      <c r="D5425">
        <v>21</v>
      </c>
      <c r="E5425" t="s">
        <v>15</v>
      </c>
      <c r="F5425" t="s">
        <v>12501</v>
      </c>
      <c r="G5425">
        <v>3</v>
      </c>
      <c r="H5425" t="s">
        <v>1964</v>
      </c>
      <c r="I5425" t="s">
        <v>47</v>
      </c>
      <c r="J5425" t="s">
        <v>1965</v>
      </c>
      <c r="K5425" t="s">
        <v>20</v>
      </c>
      <c r="L5425" t="s">
        <v>4743</v>
      </c>
      <c r="M5425" s="3" t="str">
        <f>HYPERLINK("..\..\Imagery\ScannedPhotos\1977\MC77-238.3E.jpg")</f>
        <v>..\..\Imagery\ScannedPhotos\1977\MC77-238.3E.jpg</v>
      </c>
      <c r="N5425" t="s">
        <v>1808</v>
      </c>
    </row>
    <row r="5426" spans="1:14" x14ac:dyDescent="0.25">
      <c r="A5426" t="s">
        <v>9604</v>
      </c>
      <c r="B5426">
        <v>510193</v>
      </c>
      <c r="C5426">
        <v>5953969</v>
      </c>
      <c r="D5426">
        <v>21</v>
      </c>
      <c r="E5426" t="s">
        <v>15</v>
      </c>
      <c r="F5426" t="s">
        <v>12502</v>
      </c>
      <c r="G5426">
        <v>1</v>
      </c>
      <c r="H5426" t="s">
        <v>3587</v>
      </c>
      <c r="I5426" t="s">
        <v>386</v>
      </c>
      <c r="J5426" t="s">
        <v>3588</v>
      </c>
      <c r="K5426" t="s">
        <v>20</v>
      </c>
      <c r="L5426" t="s">
        <v>9606</v>
      </c>
      <c r="M5426" s="3" t="str">
        <f>HYPERLINK("..\..\Imagery\ScannedPhotos\1977\MC77-250E.jpg")</f>
        <v>..\..\Imagery\ScannedPhotos\1977\MC77-250E.jpg</v>
      </c>
      <c r="N5426" t="s">
        <v>1808</v>
      </c>
    </row>
    <row r="5427" spans="1:14" x14ac:dyDescent="0.25">
      <c r="A5427" t="s">
        <v>10787</v>
      </c>
      <c r="B5427">
        <v>372167</v>
      </c>
      <c r="C5427">
        <v>6083033</v>
      </c>
      <c r="D5427">
        <v>21</v>
      </c>
      <c r="E5427" t="s">
        <v>15</v>
      </c>
      <c r="F5427" t="s">
        <v>12503</v>
      </c>
      <c r="G5427">
        <v>2</v>
      </c>
      <c r="H5427" t="s">
        <v>1623</v>
      </c>
      <c r="I5427" t="s">
        <v>137</v>
      </c>
      <c r="J5427" t="s">
        <v>1624</v>
      </c>
      <c r="K5427" t="s">
        <v>20</v>
      </c>
      <c r="L5427" t="s">
        <v>10789</v>
      </c>
      <c r="M5427" s="3" t="str">
        <f>HYPERLINK("..\..\Imagery\ScannedPhotos\1978\AL78-015.2E.jpg")</f>
        <v>..\..\Imagery\ScannedPhotos\1978\AL78-015.2E.jpg</v>
      </c>
      <c r="N5427" t="s">
        <v>1808</v>
      </c>
    </row>
    <row r="5428" spans="1:14" x14ac:dyDescent="0.25">
      <c r="A5428" t="s">
        <v>12504</v>
      </c>
      <c r="B5428">
        <v>386470</v>
      </c>
      <c r="C5428">
        <v>6077173</v>
      </c>
      <c r="D5428">
        <v>21</v>
      </c>
      <c r="E5428" t="s">
        <v>15</v>
      </c>
      <c r="F5428" t="s">
        <v>12505</v>
      </c>
      <c r="G5428">
        <v>1</v>
      </c>
      <c r="H5428" t="s">
        <v>4136</v>
      </c>
      <c r="I5428" t="s">
        <v>222</v>
      </c>
      <c r="J5428" t="s">
        <v>423</v>
      </c>
      <c r="K5428" t="s">
        <v>228</v>
      </c>
      <c r="L5428" t="s">
        <v>12506</v>
      </c>
      <c r="M5428" s="3" t="str">
        <f>HYPERLINK("..\..\Imagery\ScannedPhotos\1978\AL78-152E.jpg")</f>
        <v>..\..\Imagery\ScannedPhotos\1978\AL78-152E.jpg</v>
      </c>
      <c r="N5428" t="s">
        <v>1808</v>
      </c>
    </row>
    <row r="5429" spans="1:14" x14ac:dyDescent="0.25">
      <c r="A5429" t="s">
        <v>12292</v>
      </c>
      <c r="B5429">
        <v>386211</v>
      </c>
      <c r="C5429">
        <v>6076814</v>
      </c>
      <c r="D5429">
        <v>21</v>
      </c>
      <c r="E5429" t="s">
        <v>15</v>
      </c>
      <c r="F5429" t="s">
        <v>12507</v>
      </c>
      <c r="G5429">
        <v>3</v>
      </c>
      <c r="H5429" t="s">
        <v>2011</v>
      </c>
      <c r="I5429" t="s">
        <v>25</v>
      </c>
      <c r="J5429" t="s">
        <v>1624</v>
      </c>
      <c r="K5429" t="s">
        <v>56</v>
      </c>
      <c r="L5429" t="s">
        <v>12294</v>
      </c>
      <c r="M5429" s="3" t="str">
        <f>HYPERLINK("..\..\Imagery\ScannedPhotos\1978\AL78-153.3cropped.jpg")</f>
        <v>..\..\Imagery\ScannedPhotos\1978\AL78-153.3cropped.jpg</v>
      </c>
      <c r="N5429" t="s">
        <v>4297</v>
      </c>
    </row>
    <row r="5430" spans="1:14" x14ac:dyDescent="0.25">
      <c r="A5430" t="s">
        <v>12508</v>
      </c>
      <c r="B5430">
        <v>374224</v>
      </c>
      <c r="C5430">
        <v>6075536</v>
      </c>
      <c r="D5430">
        <v>21</v>
      </c>
      <c r="E5430" t="s">
        <v>15</v>
      </c>
      <c r="F5430" t="s">
        <v>12509</v>
      </c>
      <c r="G5430">
        <v>1</v>
      </c>
      <c r="H5430" t="s">
        <v>2011</v>
      </c>
      <c r="I5430" t="s">
        <v>114</v>
      </c>
      <c r="J5430" t="s">
        <v>1624</v>
      </c>
      <c r="K5430" t="s">
        <v>56</v>
      </c>
      <c r="L5430" t="s">
        <v>12510</v>
      </c>
      <c r="M5430" s="3" t="str">
        <f>HYPERLINK("..\..\Imagery\ScannedPhotos\1978\AL78-190cropped.jpg")</f>
        <v>..\..\Imagery\ScannedPhotos\1978\AL78-190cropped.jpg</v>
      </c>
      <c r="N5430" t="s">
        <v>4297</v>
      </c>
    </row>
    <row r="5431" spans="1:14" x14ac:dyDescent="0.25">
      <c r="A5431" t="s">
        <v>12511</v>
      </c>
      <c r="B5431">
        <v>363575</v>
      </c>
      <c r="C5431">
        <v>6070257</v>
      </c>
      <c r="D5431">
        <v>21</v>
      </c>
      <c r="E5431" t="s">
        <v>15</v>
      </c>
      <c r="F5431" t="s">
        <v>12512</v>
      </c>
      <c r="G5431">
        <v>1</v>
      </c>
      <c r="H5431" t="s">
        <v>4136</v>
      </c>
      <c r="I5431" t="s">
        <v>94</v>
      </c>
      <c r="J5431" t="s">
        <v>423</v>
      </c>
      <c r="K5431" t="s">
        <v>228</v>
      </c>
      <c r="L5431" t="s">
        <v>12513</v>
      </c>
      <c r="M5431" s="3" t="str">
        <f>HYPERLINK("..\..\Imagery\ScannedPhotos\1978\AL78-219cropped.jpg")</f>
        <v>..\..\Imagery\ScannedPhotos\1978\AL78-219cropped.jpg</v>
      </c>
      <c r="N5431" t="s">
        <v>4297</v>
      </c>
    </row>
    <row r="5432" spans="1:14" x14ac:dyDescent="0.25">
      <c r="A5432" t="s">
        <v>3060</v>
      </c>
      <c r="B5432">
        <v>375035</v>
      </c>
      <c r="C5432">
        <v>6120796</v>
      </c>
      <c r="D5432">
        <v>21</v>
      </c>
      <c r="E5432" t="s">
        <v>15</v>
      </c>
      <c r="F5432" t="s">
        <v>12514</v>
      </c>
      <c r="G5432">
        <v>4</v>
      </c>
      <c r="H5432" t="s">
        <v>609</v>
      </c>
      <c r="I5432" t="s">
        <v>222</v>
      </c>
      <c r="J5432" t="s">
        <v>610</v>
      </c>
      <c r="K5432" t="s">
        <v>20</v>
      </c>
      <c r="L5432" t="s">
        <v>12515</v>
      </c>
      <c r="M5432" s="3" t="str">
        <f>HYPERLINK("..\..\Imagery\ScannedPhotos\1979\AD79-011.2E.jpg")</f>
        <v>..\..\Imagery\ScannedPhotos\1979\AD79-011.2E.jpg</v>
      </c>
      <c r="N5432" t="s">
        <v>1808</v>
      </c>
    </row>
    <row r="5433" spans="1:14" x14ac:dyDescent="0.25">
      <c r="A5433" t="s">
        <v>349</v>
      </c>
      <c r="B5433">
        <v>378449</v>
      </c>
      <c r="C5433">
        <v>6104372</v>
      </c>
      <c r="D5433">
        <v>21</v>
      </c>
      <c r="E5433" t="s">
        <v>15</v>
      </c>
      <c r="F5433" t="s">
        <v>12516</v>
      </c>
      <c r="G5433">
        <v>2</v>
      </c>
      <c r="H5433" t="s">
        <v>249</v>
      </c>
      <c r="I5433" t="s">
        <v>69</v>
      </c>
      <c r="J5433" t="s">
        <v>250</v>
      </c>
      <c r="K5433" t="s">
        <v>20</v>
      </c>
      <c r="L5433" t="s">
        <v>12517</v>
      </c>
      <c r="M5433" s="3" t="str">
        <f>HYPERLINK("..\..\Imagery\ScannedPhotos\1979\AD79-025.1E.jpg")</f>
        <v>..\..\Imagery\ScannedPhotos\1979\AD79-025.1E.jpg</v>
      </c>
      <c r="N5433" t="s">
        <v>1808</v>
      </c>
    </row>
    <row r="5434" spans="1:14" x14ac:dyDescent="0.25">
      <c r="A5434" t="s">
        <v>4060</v>
      </c>
      <c r="B5434">
        <v>484275</v>
      </c>
      <c r="C5434">
        <v>5912845</v>
      </c>
      <c r="D5434">
        <v>21</v>
      </c>
      <c r="E5434" t="s">
        <v>15</v>
      </c>
      <c r="F5434" t="s">
        <v>12518</v>
      </c>
      <c r="G5434">
        <v>2</v>
      </c>
      <c r="H5434" t="s">
        <v>4058</v>
      </c>
      <c r="I5434" t="s">
        <v>217</v>
      </c>
      <c r="J5434" t="s">
        <v>2247</v>
      </c>
      <c r="K5434" t="s">
        <v>20</v>
      </c>
      <c r="L5434" t="s">
        <v>12519</v>
      </c>
      <c r="M5434" s="3" t="str">
        <f>HYPERLINK("..\..\Imagery\ScannedPhotos\1984\VN84-348.1.jpg")</f>
        <v>..\..\Imagery\ScannedPhotos\1984\VN84-348.1.jpg</v>
      </c>
    </row>
    <row r="5435" spans="1:14" x14ac:dyDescent="0.25">
      <c r="A5435" t="s">
        <v>12520</v>
      </c>
      <c r="B5435">
        <v>489911</v>
      </c>
      <c r="C5435">
        <v>5911615</v>
      </c>
      <c r="D5435">
        <v>21</v>
      </c>
      <c r="E5435" t="s">
        <v>15</v>
      </c>
      <c r="F5435" t="s">
        <v>12521</v>
      </c>
      <c r="G5435">
        <v>3</v>
      </c>
      <c r="H5435" t="s">
        <v>4058</v>
      </c>
      <c r="I5435" t="s">
        <v>418</v>
      </c>
      <c r="J5435" t="s">
        <v>2247</v>
      </c>
      <c r="K5435" t="s">
        <v>20</v>
      </c>
      <c r="L5435" t="s">
        <v>3229</v>
      </c>
      <c r="M5435" s="3" t="str">
        <f>HYPERLINK("..\..\Imagery\ScannedPhotos\1984\VN84-351.2.jpg")</f>
        <v>..\..\Imagery\ScannedPhotos\1984\VN84-351.2.jpg</v>
      </c>
    </row>
    <row r="5436" spans="1:14" x14ac:dyDescent="0.25">
      <c r="A5436" t="s">
        <v>12520</v>
      </c>
      <c r="B5436">
        <v>489911</v>
      </c>
      <c r="C5436">
        <v>5911615</v>
      </c>
      <c r="D5436">
        <v>21</v>
      </c>
      <c r="E5436" t="s">
        <v>15</v>
      </c>
      <c r="F5436" t="s">
        <v>12522</v>
      </c>
      <c r="G5436">
        <v>3</v>
      </c>
      <c r="H5436" t="s">
        <v>4058</v>
      </c>
      <c r="I5436" t="s">
        <v>222</v>
      </c>
      <c r="J5436" t="s">
        <v>2247</v>
      </c>
      <c r="K5436" t="s">
        <v>20</v>
      </c>
      <c r="L5436" t="s">
        <v>12523</v>
      </c>
      <c r="M5436" s="3" t="str">
        <f>HYPERLINK("..\..\Imagery\ScannedPhotos\1984\VN84-351.1.jpg")</f>
        <v>..\..\Imagery\ScannedPhotos\1984\VN84-351.1.jpg</v>
      </c>
    </row>
    <row r="5437" spans="1:14" x14ac:dyDescent="0.25">
      <c r="A5437" t="s">
        <v>12520</v>
      </c>
      <c r="B5437">
        <v>489911</v>
      </c>
      <c r="C5437">
        <v>5911615</v>
      </c>
      <c r="D5437">
        <v>21</v>
      </c>
      <c r="E5437" t="s">
        <v>15</v>
      </c>
      <c r="F5437" t="s">
        <v>12524</v>
      </c>
      <c r="G5437">
        <v>3</v>
      </c>
      <c r="H5437" t="s">
        <v>4058</v>
      </c>
      <c r="I5437" t="s">
        <v>304</v>
      </c>
      <c r="J5437" t="s">
        <v>2247</v>
      </c>
      <c r="K5437" t="s">
        <v>20</v>
      </c>
      <c r="L5437" t="s">
        <v>12525</v>
      </c>
      <c r="M5437" s="3" t="str">
        <f>HYPERLINK("..\..\Imagery\ScannedPhotos\1984\VN84-351.3.jpg")</f>
        <v>..\..\Imagery\ScannedPhotos\1984\VN84-351.3.jpg</v>
      </c>
    </row>
    <row r="5438" spans="1:14" x14ac:dyDescent="0.25">
      <c r="A5438" t="s">
        <v>12526</v>
      </c>
      <c r="B5438">
        <v>483478</v>
      </c>
      <c r="C5438">
        <v>5911126</v>
      </c>
      <c r="D5438">
        <v>21</v>
      </c>
      <c r="E5438" t="s">
        <v>15</v>
      </c>
      <c r="F5438" t="s">
        <v>12527</v>
      </c>
      <c r="G5438">
        <v>1</v>
      </c>
      <c r="H5438" t="s">
        <v>4058</v>
      </c>
      <c r="I5438" t="s">
        <v>195</v>
      </c>
      <c r="J5438" t="s">
        <v>2247</v>
      </c>
      <c r="K5438" t="s">
        <v>20</v>
      </c>
      <c r="L5438" t="s">
        <v>12528</v>
      </c>
      <c r="M5438" s="3" t="str">
        <f>HYPERLINK("..\..\Imagery\ScannedPhotos\1984\VN84-364.jpg")</f>
        <v>..\..\Imagery\ScannedPhotos\1984\VN84-364.jpg</v>
      </c>
    </row>
    <row r="5439" spans="1:14" x14ac:dyDescent="0.25">
      <c r="A5439" t="s">
        <v>9805</v>
      </c>
      <c r="B5439">
        <v>478843</v>
      </c>
      <c r="C5439">
        <v>5913051</v>
      </c>
      <c r="D5439">
        <v>21</v>
      </c>
      <c r="E5439" t="s">
        <v>15</v>
      </c>
      <c r="F5439" t="s">
        <v>12529</v>
      </c>
      <c r="G5439">
        <v>2</v>
      </c>
      <c r="H5439" t="s">
        <v>4058</v>
      </c>
      <c r="I5439" t="s">
        <v>25</v>
      </c>
      <c r="J5439" t="s">
        <v>2247</v>
      </c>
      <c r="K5439" t="s">
        <v>20</v>
      </c>
      <c r="L5439" t="s">
        <v>12530</v>
      </c>
      <c r="M5439" s="3" t="str">
        <f>HYPERLINK("..\..\Imagery\ScannedPhotos\1984\VN84-375.1.jpg")</f>
        <v>..\..\Imagery\ScannedPhotos\1984\VN84-375.1.jpg</v>
      </c>
    </row>
    <row r="5440" spans="1:14" x14ac:dyDescent="0.25">
      <c r="A5440" t="s">
        <v>12531</v>
      </c>
      <c r="B5440">
        <v>508670</v>
      </c>
      <c r="C5440">
        <v>5722220</v>
      </c>
      <c r="D5440">
        <v>21</v>
      </c>
      <c r="E5440" t="s">
        <v>15</v>
      </c>
      <c r="F5440" t="s">
        <v>12532</v>
      </c>
      <c r="G5440">
        <v>1</v>
      </c>
      <c r="H5440" t="s">
        <v>1784</v>
      </c>
      <c r="I5440" t="s">
        <v>119</v>
      </c>
      <c r="J5440" t="s">
        <v>1738</v>
      </c>
      <c r="K5440" t="s">
        <v>56</v>
      </c>
      <c r="L5440" t="s">
        <v>12533</v>
      </c>
      <c r="M5440" s="3" t="str">
        <f>HYPERLINK("..\..\Imagery\ScannedPhotos\1993\VN93-292.jpg")</f>
        <v>..\..\Imagery\ScannedPhotos\1993\VN93-292.jpg</v>
      </c>
    </row>
    <row r="5441" spans="1:14" x14ac:dyDescent="0.25">
      <c r="A5441" t="s">
        <v>12534</v>
      </c>
      <c r="B5441">
        <v>480857</v>
      </c>
      <c r="C5441">
        <v>5779882</v>
      </c>
      <c r="D5441">
        <v>21</v>
      </c>
      <c r="E5441" t="s">
        <v>15</v>
      </c>
      <c r="F5441" t="s">
        <v>12535</v>
      </c>
      <c r="G5441">
        <v>2</v>
      </c>
      <c r="H5441" t="s">
        <v>9755</v>
      </c>
      <c r="I5441" t="s">
        <v>195</v>
      </c>
      <c r="J5441" t="s">
        <v>9756</v>
      </c>
      <c r="K5441" t="s">
        <v>20</v>
      </c>
      <c r="L5441" t="s">
        <v>12536</v>
      </c>
      <c r="M5441" s="3" t="str">
        <f>HYPERLINK("..\..\Imagery\ScannedPhotos\1992\HP92-155.1.jpg")</f>
        <v>..\..\Imagery\ScannedPhotos\1992\HP92-155.1.jpg</v>
      </c>
    </row>
    <row r="5442" spans="1:14" x14ac:dyDescent="0.25">
      <c r="A5442" t="s">
        <v>12534</v>
      </c>
      <c r="B5442">
        <v>480857</v>
      </c>
      <c r="C5442">
        <v>5779882</v>
      </c>
      <c r="D5442">
        <v>21</v>
      </c>
      <c r="E5442" t="s">
        <v>15</v>
      </c>
      <c r="F5442" t="s">
        <v>12537</v>
      </c>
      <c r="G5442">
        <v>2</v>
      </c>
      <c r="H5442" t="s">
        <v>9755</v>
      </c>
      <c r="I5442" t="s">
        <v>25</v>
      </c>
      <c r="J5442" t="s">
        <v>9756</v>
      </c>
      <c r="K5442" t="s">
        <v>20</v>
      </c>
      <c r="L5442" t="s">
        <v>12536</v>
      </c>
      <c r="M5442" s="3" t="str">
        <f>HYPERLINK("..\..\Imagery\ScannedPhotos\1992\HP92-155.2.jpg")</f>
        <v>..\..\Imagery\ScannedPhotos\1992\HP92-155.2.jpg</v>
      </c>
    </row>
    <row r="5443" spans="1:14" x14ac:dyDescent="0.25">
      <c r="A5443" t="s">
        <v>12538</v>
      </c>
      <c r="B5443">
        <v>448340</v>
      </c>
      <c r="C5443">
        <v>5761850</v>
      </c>
      <c r="D5443">
        <v>21</v>
      </c>
      <c r="E5443" t="s">
        <v>15</v>
      </c>
      <c r="F5443" t="s">
        <v>12539</v>
      </c>
      <c r="G5443">
        <v>1</v>
      </c>
      <c r="H5443" t="s">
        <v>9755</v>
      </c>
      <c r="I5443" t="s">
        <v>360</v>
      </c>
      <c r="J5443" t="s">
        <v>9756</v>
      </c>
      <c r="K5443" t="s">
        <v>56</v>
      </c>
      <c r="L5443" t="s">
        <v>12540</v>
      </c>
      <c r="M5443" s="3" t="str">
        <f>HYPERLINK("..\..\Imagery\ScannedPhotos\1992\HP92-160.jpg")</f>
        <v>..\..\Imagery\ScannedPhotos\1992\HP92-160.jpg</v>
      </c>
    </row>
    <row r="5444" spans="1:14" x14ac:dyDescent="0.25">
      <c r="A5444" t="s">
        <v>12541</v>
      </c>
      <c r="B5444">
        <v>447828</v>
      </c>
      <c r="C5444">
        <v>5763394</v>
      </c>
      <c r="D5444">
        <v>21</v>
      </c>
      <c r="E5444" t="s">
        <v>15</v>
      </c>
      <c r="F5444" t="s">
        <v>12542</v>
      </c>
      <c r="G5444">
        <v>2</v>
      </c>
      <c r="H5444" t="s">
        <v>9755</v>
      </c>
      <c r="I5444" t="s">
        <v>647</v>
      </c>
      <c r="J5444" t="s">
        <v>9756</v>
      </c>
      <c r="K5444" t="s">
        <v>228</v>
      </c>
      <c r="L5444" t="s">
        <v>12543</v>
      </c>
      <c r="M5444" s="3" t="str">
        <f>HYPERLINK("..\..\Imagery\ScannedPhotos\1992\HP92-162.1.jpg")</f>
        <v>..\..\Imagery\ScannedPhotos\1992\HP92-162.1.jpg</v>
      </c>
    </row>
    <row r="5445" spans="1:14" x14ac:dyDescent="0.25">
      <c r="A5445" t="s">
        <v>12544</v>
      </c>
      <c r="B5445">
        <v>304077</v>
      </c>
      <c r="C5445">
        <v>5839626</v>
      </c>
      <c r="D5445">
        <v>21</v>
      </c>
      <c r="E5445" t="s">
        <v>15</v>
      </c>
      <c r="F5445" t="s">
        <v>12545</v>
      </c>
      <c r="G5445">
        <v>1</v>
      </c>
      <c r="H5445" t="s">
        <v>5833</v>
      </c>
      <c r="I5445" t="s">
        <v>30</v>
      </c>
      <c r="J5445" t="s">
        <v>260</v>
      </c>
      <c r="K5445" t="s">
        <v>56</v>
      </c>
      <c r="L5445" t="s">
        <v>12546</v>
      </c>
      <c r="M5445" s="3" t="str">
        <f>HYPERLINK("..\..\Imagery\ScannedPhotos\1998\CG98-252.jpg")</f>
        <v>..\..\Imagery\ScannedPhotos\1998\CG98-252.jpg</v>
      </c>
    </row>
    <row r="5446" spans="1:14" x14ac:dyDescent="0.25">
      <c r="A5446" t="s">
        <v>12547</v>
      </c>
      <c r="B5446">
        <v>320282</v>
      </c>
      <c r="C5446">
        <v>5843019</v>
      </c>
      <c r="D5446">
        <v>21</v>
      </c>
      <c r="E5446" t="s">
        <v>15</v>
      </c>
      <c r="F5446" t="s">
        <v>12548</v>
      </c>
      <c r="G5446">
        <v>1</v>
      </c>
      <c r="H5446" t="s">
        <v>7363</v>
      </c>
      <c r="I5446" t="s">
        <v>94</v>
      </c>
      <c r="J5446" t="s">
        <v>7364</v>
      </c>
      <c r="K5446" t="s">
        <v>56</v>
      </c>
      <c r="L5446" t="s">
        <v>12549</v>
      </c>
      <c r="M5446" s="3" t="str">
        <f>HYPERLINK("..\..\Imagery\ScannedPhotos\1998\CG98-256.jpg")</f>
        <v>..\..\Imagery\ScannedPhotos\1998\CG98-256.jpg</v>
      </c>
    </row>
    <row r="5447" spans="1:14" x14ac:dyDescent="0.25">
      <c r="A5447" t="s">
        <v>12550</v>
      </c>
      <c r="B5447">
        <v>316454</v>
      </c>
      <c r="C5447">
        <v>5828477</v>
      </c>
      <c r="D5447">
        <v>21</v>
      </c>
      <c r="E5447" t="s">
        <v>15</v>
      </c>
      <c r="F5447" t="s">
        <v>12551</v>
      </c>
      <c r="G5447">
        <v>1</v>
      </c>
      <c r="H5447" t="s">
        <v>5833</v>
      </c>
      <c r="I5447" t="s">
        <v>114</v>
      </c>
      <c r="J5447" t="s">
        <v>260</v>
      </c>
      <c r="K5447" t="s">
        <v>56</v>
      </c>
      <c r="L5447" t="s">
        <v>12552</v>
      </c>
      <c r="M5447" s="3" t="str">
        <f>HYPERLINK("..\..\Imagery\ScannedPhotos\1998\CG98-279.jpg")</f>
        <v>..\..\Imagery\ScannedPhotos\1998\CG98-279.jpg</v>
      </c>
    </row>
    <row r="5448" spans="1:14" x14ac:dyDescent="0.25">
      <c r="A5448" t="s">
        <v>12553</v>
      </c>
      <c r="B5448">
        <v>579310</v>
      </c>
      <c r="C5448">
        <v>5854718</v>
      </c>
      <c r="D5448">
        <v>21</v>
      </c>
      <c r="E5448" t="s">
        <v>15</v>
      </c>
      <c r="F5448" t="s">
        <v>12554</v>
      </c>
      <c r="G5448">
        <v>1</v>
      </c>
      <c r="H5448" t="s">
        <v>3162</v>
      </c>
      <c r="I5448" t="s">
        <v>647</v>
      </c>
      <c r="J5448" t="s">
        <v>3163</v>
      </c>
      <c r="K5448" t="s">
        <v>20</v>
      </c>
      <c r="L5448" t="s">
        <v>451</v>
      </c>
      <c r="M5448" s="3" t="str">
        <f>HYPERLINK("..\..\Imagery\ScannedPhotos\1986\SN86-348E.jpg")</f>
        <v>..\..\Imagery\ScannedPhotos\1986\SN86-348E.jpg</v>
      </c>
      <c r="N5448" t="s">
        <v>1808</v>
      </c>
    </row>
    <row r="5449" spans="1:14" x14ac:dyDescent="0.25">
      <c r="A5449" t="s">
        <v>12555</v>
      </c>
      <c r="B5449">
        <v>580029</v>
      </c>
      <c r="C5449">
        <v>5833157</v>
      </c>
      <c r="D5449">
        <v>21</v>
      </c>
      <c r="E5449" t="s">
        <v>15</v>
      </c>
      <c r="F5449" t="s">
        <v>12556</v>
      </c>
      <c r="G5449">
        <v>1</v>
      </c>
      <c r="H5449" t="s">
        <v>288</v>
      </c>
      <c r="I5449" t="s">
        <v>74</v>
      </c>
      <c r="J5449" t="s">
        <v>289</v>
      </c>
      <c r="K5449" t="s">
        <v>228</v>
      </c>
      <c r="L5449" t="s">
        <v>12557</v>
      </c>
      <c r="M5449" s="3" t="str">
        <f>HYPERLINK("..\..\Imagery\ScannedPhotos\1986\SN86-378E.jpg")</f>
        <v>..\..\Imagery\ScannedPhotos\1986\SN86-378E.jpg</v>
      </c>
      <c r="N5449" t="s">
        <v>1808</v>
      </c>
    </row>
    <row r="5450" spans="1:14" x14ac:dyDescent="0.25">
      <c r="A5450" t="s">
        <v>3256</v>
      </c>
      <c r="B5450">
        <v>580898</v>
      </c>
      <c r="C5450">
        <v>5834070</v>
      </c>
      <c r="D5450">
        <v>21</v>
      </c>
      <c r="E5450" t="s">
        <v>15</v>
      </c>
      <c r="F5450" t="s">
        <v>12558</v>
      </c>
      <c r="G5450">
        <v>2</v>
      </c>
      <c r="H5450" t="s">
        <v>3252</v>
      </c>
      <c r="I5450" t="s">
        <v>85</v>
      </c>
      <c r="J5450" t="s">
        <v>100</v>
      </c>
      <c r="K5450" t="s">
        <v>20</v>
      </c>
      <c r="L5450" t="s">
        <v>10945</v>
      </c>
      <c r="M5450" s="3" t="str">
        <f>HYPERLINK("..\..\Imagery\ScannedPhotos\1986\SN86-381.2E.jpg")</f>
        <v>..\..\Imagery\ScannedPhotos\1986\SN86-381.2E.jpg</v>
      </c>
      <c r="N5450" t="s">
        <v>1808</v>
      </c>
    </row>
    <row r="5451" spans="1:14" x14ac:dyDescent="0.25">
      <c r="A5451" t="s">
        <v>6422</v>
      </c>
      <c r="B5451">
        <v>582816</v>
      </c>
      <c r="C5451">
        <v>5820038</v>
      </c>
      <c r="D5451">
        <v>21</v>
      </c>
      <c r="E5451" t="s">
        <v>15</v>
      </c>
      <c r="F5451" t="s">
        <v>12559</v>
      </c>
      <c r="G5451">
        <v>2</v>
      </c>
      <c r="H5451" t="s">
        <v>3201</v>
      </c>
      <c r="I5451" t="s">
        <v>85</v>
      </c>
      <c r="J5451" t="s">
        <v>3202</v>
      </c>
      <c r="K5451" t="s">
        <v>20</v>
      </c>
      <c r="L5451" t="s">
        <v>7943</v>
      </c>
      <c r="M5451" s="3" t="str">
        <f>HYPERLINK("..\..\Imagery\ScannedPhotos\1986\SN86-407.1E.jpg")</f>
        <v>..\..\Imagery\ScannedPhotos\1986\SN86-407.1E.jpg</v>
      </c>
      <c r="N5451" t="s">
        <v>1808</v>
      </c>
    </row>
    <row r="5452" spans="1:14" x14ac:dyDescent="0.25">
      <c r="A5452" t="s">
        <v>12560</v>
      </c>
      <c r="B5452">
        <v>581841</v>
      </c>
      <c r="C5452">
        <v>5832913</v>
      </c>
      <c r="D5452">
        <v>21</v>
      </c>
      <c r="E5452" t="s">
        <v>15</v>
      </c>
      <c r="F5452" t="s">
        <v>12561</v>
      </c>
      <c r="G5452">
        <v>1</v>
      </c>
      <c r="H5452" t="s">
        <v>288</v>
      </c>
      <c r="I5452" t="s">
        <v>69</v>
      </c>
      <c r="J5452" t="s">
        <v>289</v>
      </c>
      <c r="K5452" t="s">
        <v>228</v>
      </c>
      <c r="L5452" t="s">
        <v>12562</v>
      </c>
      <c r="M5452" s="3" t="str">
        <f>HYPERLINK("..\..\Imagery\ScannedPhotos\1986\MN86-400E.jpg")</f>
        <v>..\..\Imagery\ScannedPhotos\1986\MN86-400E.jpg</v>
      </c>
      <c r="N5452" t="s">
        <v>1808</v>
      </c>
    </row>
    <row r="5453" spans="1:14" x14ac:dyDescent="0.25">
      <c r="A5453" t="s">
        <v>551</v>
      </c>
      <c r="B5453">
        <v>567548</v>
      </c>
      <c r="C5453">
        <v>5772196</v>
      </c>
      <c r="D5453">
        <v>21</v>
      </c>
      <c r="E5453" t="s">
        <v>15</v>
      </c>
      <c r="F5453" t="s">
        <v>12563</v>
      </c>
      <c r="G5453">
        <v>4</v>
      </c>
      <c r="K5453" t="s">
        <v>20</v>
      </c>
      <c r="L5453" t="s">
        <v>553</v>
      </c>
      <c r="M5453" s="3" t="str">
        <f>HYPERLINK("..\..\Imagery\ScannedPhotos\1987\CC87-100.4cropped.jpg")</f>
        <v>..\..\Imagery\ScannedPhotos\1987\CC87-100.4cropped.jpg</v>
      </c>
      <c r="N5453" t="s">
        <v>4297</v>
      </c>
    </row>
    <row r="5454" spans="1:14" x14ac:dyDescent="0.25">
      <c r="A5454" t="s">
        <v>1748</v>
      </c>
      <c r="B5454">
        <v>558172</v>
      </c>
      <c r="C5454">
        <v>5813098</v>
      </c>
      <c r="D5454">
        <v>21</v>
      </c>
      <c r="E5454" t="s">
        <v>15</v>
      </c>
      <c r="F5454" t="s">
        <v>12564</v>
      </c>
      <c r="G5454">
        <v>10</v>
      </c>
      <c r="H5454" t="s">
        <v>2106</v>
      </c>
      <c r="I5454" t="s">
        <v>94</v>
      </c>
      <c r="J5454" t="s">
        <v>2107</v>
      </c>
      <c r="K5454" t="s">
        <v>20</v>
      </c>
      <c r="L5454" t="s">
        <v>12565</v>
      </c>
      <c r="M5454" s="3" t="str">
        <f>HYPERLINK("..\..\Imagery\ScannedPhotos\1987\CG87-055.4cropped.jpg")</f>
        <v>..\..\Imagery\ScannedPhotos\1987\CG87-055.4cropped.jpg</v>
      </c>
      <c r="N5454" t="s">
        <v>4297</v>
      </c>
    </row>
    <row r="5455" spans="1:14" x14ac:dyDescent="0.25">
      <c r="A5455" t="s">
        <v>1748</v>
      </c>
      <c r="B5455">
        <v>558172</v>
      </c>
      <c r="C5455">
        <v>5813098</v>
      </c>
      <c r="D5455">
        <v>21</v>
      </c>
      <c r="E5455" t="s">
        <v>15</v>
      </c>
      <c r="F5455" t="s">
        <v>12566</v>
      </c>
      <c r="G5455">
        <v>10</v>
      </c>
      <c r="H5455" t="s">
        <v>1750</v>
      </c>
      <c r="I5455" t="s">
        <v>214</v>
      </c>
      <c r="J5455" t="s">
        <v>1751</v>
      </c>
      <c r="K5455" t="s">
        <v>56</v>
      </c>
      <c r="L5455" t="s">
        <v>1756</v>
      </c>
      <c r="M5455" s="3" t="str">
        <f>HYPERLINK("..\..\Imagery\ScannedPhotos\1987\CG87-055.7cropped.jpg")</f>
        <v>..\..\Imagery\ScannedPhotos\1987\CG87-055.7cropped.jpg</v>
      </c>
      <c r="N5455" t="s">
        <v>4297</v>
      </c>
    </row>
    <row r="5456" spans="1:14" x14ac:dyDescent="0.25">
      <c r="A5456" t="s">
        <v>3191</v>
      </c>
      <c r="B5456">
        <v>509037</v>
      </c>
      <c r="C5456">
        <v>5894270</v>
      </c>
      <c r="D5456">
        <v>21</v>
      </c>
      <c r="E5456" t="s">
        <v>15</v>
      </c>
      <c r="F5456" t="s">
        <v>12567</v>
      </c>
      <c r="G5456">
        <v>5</v>
      </c>
      <c r="H5456" t="s">
        <v>2106</v>
      </c>
      <c r="I5456" t="s">
        <v>147</v>
      </c>
      <c r="J5456" t="s">
        <v>2107</v>
      </c>
      <c r="K5456" t="s">
        <v>20</v>
      </c>
      <c r="L5456" t="s">
        <v>3195</v>
      </c>
      <c r="M5456" s="3" t="str">
        <f>HYPERLINK("..\..\Imagery\ScannedPhotos\1987\CG87-164.4cropped.jpg")</f>
        <v>..\..\Imagery\ScannedPhotos\1987\CG87-164.4cropped.jpg</v>
      </c>
      <c r="N5456" t="s">
        <v>4297</v>
      </c>
    </row>
    <row r="5457" spans="1:14" x14ac:dyDescent="0.25">
      <c r="A5457" t="s">
        <v>12568</v>
      </c>
      <c r="B5457">
        <v>507072</v>
      </c>
      <c r="C5457">
        <v>5899021</v>
      </c>
      <c r="D5457">
        <v>21</v>
      </c>
      <c r="E5457" t="s">
        <v>15</v>
      </c>
      <c r="F5457" t="s">
        <v>12569</v>
      </c>
      <c r="G5457">
        <v>4</v>
      </c>
      <c r="H5457" t="s">
        <v>2106</v>
      </c>
      <c r="I5457" t="s">
        <v>65</v>
      </c>
      <c r="J5457" t="s">
        <v>2107</v>
      </c>
      <c r="K5457" t="s">
        <v>56</v>
      </c>
      <c r="L5457" t="s">
        <v>12570</v>
      </c>
      <c r="M5457" s="3" t="str">
        <f>HYPERLINK("..\..\Imagery\ScannedPhotos\1987\CG87-166.2cropped.jpg")</f>
        <v>..\..\Imagery\ScannedPhotos\1987\CG87-166.2cropped.jpg</v>
      </c>
      <c r="N5457" t="s">
        <v>4297</v>
      </c>
    </row>
    <row r="5458" spans="1:14" x14ac:dyDescent="0.25">
      <c r="A5458" t="s">
        <v>12571</v>
      </c>
      <c r="B5458">
        <v>547463</v>
      </c>
      <c r="C5458">
        <v>5771932</v>
      </c>
      <c r="D5458">
        <v>21</v>
      </c>
      <c r="E5458" t="s">
        <v>15</v>
      </c>
      <c r="F5458" t="s">
        <v>12572</v>
      </c>
      <c r="G5458">
        <v>1</v>
      </c>
      <c r="H5458" t="s">
        <v>1750</v>
      </c>
      <c r="I5458" t="s">
        <v>143</v>
      </c>
      <c r="J5458" t="s">
        <v>1751</v>
      </c>
      <c r="K5458" t="s">
        <v>228</v>
      </c>
      <c r="L5458" t="s">
        <v>12573</v>
      </c>
      <c r="M5458" s="3" t="str">
        <f>HYPERLINK("..\..\Imagery\ScannedPhotos\1987\CG87-233E.jpg")</f>
        <v>..\..\Imagery\ScannedPhotos\1987\CG87-233E.jpg</v>
      </c>
      <c r="N5458" t="s">
        <v>1808</v>
      </c>
    </row>
    <row r="5459" spans="1:14" x14ac:dyDescent="0.25">
      <c r="A5459" t="s">
        <v>2296</v>
      </c>
      <c r="B5459">
        <v>591438</v>
      </c>
      <c r="C5459">
        <v>5809123</v>
      </c>
      <c r="D5459">
        <v>21</v>
      </c>
      <c r="E5459" t="s">
        <v>15</v>
      </c>
      <c r="F5459" t="s">
        <v>12574</v>
      </c>
      <c r="G5459">
        <v>4</v>
      </c>
      <c r="H5459" t="s">
        <v>1618</v>
      </c>
      <c r="I5459" t="s">
        <v>85</v>
      </c>
      <c r="J5459" t="s">
        <v>1619</v>
      </c>
      <c r="K5459" t="s">
        <v>56</v>
      </c>
      <c r="L5459" t="s">
        <v>12575</v>
      </c>
      <c r="M5459" s="3" t="str">
        <f>HYPERLINK("..\..\Imagery\ScannedPhotos\1987\CG87-333.4cropped.jpg")</f>
        <v>..\..\Imagery\ScannedPhotos\1987\CG87-333.4cropped.jpg</v>
      </c>
      <c r="N5459" t="s">
        <v>4297</v>
      </c>
    </row>
    <row r="5460" spans="1:14" x14ac:dyDescent="0.25">
      <c r="A5460" t="s">
        <v>12576</v>
      </c>
      <c r="B5460">
        <v>576065</v>
      </c>
      <c r="C5460">
        <v>5763189</v>
      </c>
      <c r="D5460">
        <v>21</v>
      </c>
      <c r="E5460" t="s">
        <v>15</v>
      </c>
      <c r="F5460" t="s">
        <v>12577</v>
      </c>
      <c r="G5460">
        <v>1</v>
      </c>
      <c r="H5460" t="s">
        <v>1618</v>
      </c>
      <c r="I5460" t="s">
        <v>304</v>
      </c>
      <c r="J5460" t="s">
        <v>1619</v>
      </c>
      <c r="K5460" t="s">
        <v>228</v>
      </c>
      <c r="L5460" t="s">
        <v>12578</v>
      </c>
      <c r="M5460" s="3" t="str">
        <f>HYPERLINK("..\..\Imagery\ScannedPhotos\1987\CG87-402E.jpg")</f>
        <v>..\..\Imagery\ScannedPhotos\1987\CG87-402E.jpg</v>
      </c>
      <c r="N5460" t="s">
        <v>1808</v>
      </c>
    </row>
    <row r="5461" spans="1:14" x14ac:dyDescent="0.25">
      <c r="A5461" t="s">
        <v>12579</v>
      </c>
      <c r="B5461">
        <v>577727</v>
      </c>
      <c r="C5461">
        <v>5761774</v>
      </c>
      <c r="D5461">
        <v>21</v>
      </c>
      <c r="E5461" t="s">
        <v>15</v>
      </c>
      <c r="F5461" t="s">
        <v>12580</v>
      </c>
      <c r="G5461">
        <v>1</v>
      </c>
      <c r="H5461" t="s">
        <v>1618</v>
      </c>
      <c r="I5461" t="s">
        <v>114</v>
      </c>
      <c r="J5461" t="s">
        <v>1619</v>
      </c>
      <c r="K5461" t="s">
        <v>228</v>
      </c>
      <c r="L5461" t="s">
        <v>12581</v>
      </c>
      <c r="M5461" s="3" t="str">
        <f>HYPERLINK("..\..\Imagery\ScannedPhotos\1987\CG87-410E.jpg")</f>
        <v>..\..\Imagery\ScannedPhotos\1987\CG87-410E.jpg</v>
      </c>
      <c r="N5461" t="s">
        <v>1808</v>
      </c>
    </row>
    <row r="5462" spans="1:14" x14ac:dyDescent="0.25">
      <c r="A5462" t="s">
        <v>12582</v>
      </c>
      <c r="B5462">
        <v>578599</v>
      </c>
      <c r="C5462">
        <v>5761760</v>
      </c>
      <c r="D5462">
        <v>21</v>
      </c>
      <c r="E5462" t="s">
        <v>15</v>
      </c>
      <c r="F5462" t="s">
        <v>12583</v>
      </c>
      <c r="G5462">
        <v>2</v>
      </c>
      <c r="H5462" t="s">
        <v>1618</v>
      </c>
      <c r="I5462" t="s">
        <v>126</v>
      </c>
      <c r="J5462" t="s">
        <v>1619</v>
      </c>
      <c r="K5462" t="s">
        <v>228</v>
      </c>
      <c r="L5462" t="s">
        <v>12581</v>
      </c>
      <c r="M5462" s="3" t="str">
        <f>HYPERLINK("..\..\Imagery\ScannedPhotos\1987\CG87-415.2E.jpg")</f>
        <v>..\..\Imagery\ScannedPhotos\1987\CG87-415.2E.jpg</v>
      </c>
      <c r="N5462" t="s">
        <v>1808</v>
      </c>
    </row>
    <row r="5463" spans="1:14" x14ac:dyDescent="0.25">
      <c r="A5463" t="s">
        <v>12584</v>
      </c>
      <c r="B5463">
        <v>579728</v>
      </c>
      <c r="C5463">
        <v>5761833</v>
      </c>
      <c r="D5463">
        <v>21</v>
      </c>
      <c r="E5463" t="s">
        <v>15</v>
      </c>
      <c r="F5463" t="s">
        <v>12585</v>
      </c>
      <c r="G5463">
        <v>1</v>
      </c>
      <c r="H5463" t="s">
        <v>1618</v>
      </c>
      <c r="I5463" t="s">
        <v>129</v>
      </c>
      <c r="J5463" t="s">
        <v>1619</v>
      </c>
      <c r="K5463" t="s">
        <v>20</v>
      </c>
      <c r="L5463" t="s">
        <v>12586</v>
      </c>
      <c r="M5463" s="3" t="str">
        <f>HYPERLINK("..\..\Imagery\ScannedPhotos\1987\CG87-420E.jpg")</f>
        <v>..\..\Imagery\ScannedPhotos\1987\CG87-420E.jpg</v>
      </c>
      <c r="N5463" t="s">
        <v>1808</v>
      </c>
    </row>
    <row r="5464" spans="1:14" x14ac:dyDescent="0.25">
      <c r="A5464" t="s">
        <v>12587</v>
      </c>
      <c r="B5464">
        <v>573030</v>
      </c>
      <c r="C5464">
        <v>5868460</v>
      </c>
      <c r="D5464">
        <v>21</v>
      </c>
      <c r="E5464" t="s">
        <v>15</v>
      </c>
      <c r="F5464" t="s">
        <v>12588</v>
      </c>
      <c r="G5464">
        <v>1</v>
      </c>
      <c r="H5464" t="s">
        <v>1212</v>
      </c>
      <c r="I5464" t="s">
        <v>126</v>
      </c>
      <c r="J5464" t="s">
        <v>100</v>
      </c>
      <c r="K5464" t="s">
        <v>20</v>
      </c>
      <c r="L5464" t="s">
        <v>12589</v>
      </c>
      <c r="M5464" s="3" t="str">
        <f>HYPERLINK("..\..\Imagery\ScannedPhotos\1986\JS86-114.jpg")</f>
        <v>..\..\Imagery\ScannedPhotos\1986\JS86-114.jpg</v>
      </c>
    </row>
    <row r="5465" spans="1:14" x14ac:dyDescent="0.25">
      <c r="A5465" t="s">
        <v>12590</v>
      </c>
      <c r="B5465">
        <v>556584</v>
      </c>
      <c r="C5465">
        <v>5820193</v>
      </c>
      <c r="D5465">
        <v>21</v>
      </c>
      <c r="E5465" t="s">
        <v>15</v>
      </c>
      <c r="F5465" t="s">
        <v>12591</v>
      </c>
      <c r="G5465">
        <v>1</v>
      </c>
      <c r="H5465" t="s">
        <v>1212</v>
      </c>
      <c r="I5465" t="s">
        <v>108</v>
      </c>
      <c r="J5465" t="s">
        <v>100</v>
      </c>
      <c r="K5465" t="s">
        <v>20</v>
      </c>
      <c r="L5465" t="s">
        <v>2300</v>
      </c>
      <c r="M5465" s="3" t="str">
        <f>HYPERLINK("..\..\Imagery\ScannedPhotos\1986\JS86-123.jpg")</f>
        <v>..\..\Imagery\ScannedPhotos\1986\JS86-123.jpg</v>
      </c>
    </row>
    <row r="5466" spans="1:14" x14ac:dyDescent="0.25">
      <c r="A5466" t="s">
        <v>12592</v>
      </c>
      <c r="B5466">
        <v>472734</v>
      </c>
      <c r="C5466">
        <v>5822563</v>
      </c>
      <c r="D5466">
        <v>21</v>
      </c>
      <c r="E5466" t="s">
        <v>15</v>
      </c>
      <c r="F5466" t="s">
        <v>12593</v>
      </c>
      <c r="G5466">
        <v>1</v>
      </c>
      <c r="H5466" t="s">
        <v>849</v>
      </c>
      <c r="I5466" t="s">
        <v>122</v>
      </c>
      <c r="J5466" t="s">
        <v>850</v>
      </c>
      <c r="K5466" t="s">
        <v>20</v>
      </c>
      <c r="L5466" t="s">
        <v>12594</v>
      </c>
      <c r="M5466" s="3" t="str">
        <f>HYPERLINK("..\..\Imagery\ScannedPhotos\1991\VN91-196.jpg")</f>
        <v>..\..\Imagery\ScannedPhotos\1991\VN91-196.jpg</v>
      </c>
    </row>
    <row r="5467" spans="1:14" x14ac:dyDescent="0.25">
      <c r="A5467" t="s">
        <v>10326</v>
      </c>
      <c r="B5467">
        <v>580370</v>
      </c>
      <c r="C5467">
        <v>5801600</v>
      </c>
      <c r="D5467">
        <v>21</v>
      </c>
      <c r="E5467" t="s">
        <v>15</v>
      </c>
      <c r="F5467" t="s">
        <v>12595</v>
      </c>
      <c r="G5467">
        <v>2</v>
      </c>
      <c r="H5467" t="s">
        <v>1171</v>
      </c>
      <c r="I5467" t="s">
        <v>85</v>
      </c>
      <c r="J5467" t="s">
        <v>563</v>
      </c>
      <c r="K5467" t="s">
        <v>20</v>
      </c>
      <c r="L5467" t="s">
        <v>10330</v>
      </c>
      <c r="M5467" s="3" t="str">
        <f>HYPERLINK("..\..\Imagery\ScannedPhotos\1987\VN87-490.1.jpg")</f>
        <v>..\..\Imagery\ScannedPhotos\1987\VN87-490.1.jpg</v>
      </c>
    </row>
    <row r="5468" spans="1:14" x14ac:dyDescent="0.25">
      <c r="A5468" t="s">
        <v>12596</v>
      </c>
      <c r="B5468">
        <v>521022</v>
      </c>
      <c r="C5468">
        <v>5859371</v>
      </c>
      <c r="D5468">
        <v>21</v>
      </c>
      <c r="E5468" t="s">
        <v>15</v>
      </c>
      <c r="F5468" t="s">
        <v>12597</v>
      </c>
      <c r="G5468">
        <v>1</v>
      </c>
      <c r="H5468" t="s">
        <v>68</v>
      </c>
      <c r="I5468" t="s">
        <v>119</v>
      </c>
      <c r="J5468" t="s">
        <v>70</v>
      </c>
      <c r="K5468" t="s">
        <v>20</v>
      </c>
      <c r="L5468" t="s">
        <v>12598</v>
      </c>
      <c r="M5468" s="3" t="str">
        <f>HYPERLINK("..\..\Imagery\ScannedPhotos\1986\SN86-181.jpg")</f>
        <v>..\..\Imagery\ScannedPhotos\1986\SN86-181.jpg</v>
      </c>
    </row>
    <row r="5469" spans="1:14" x14ac:dyDescent="0.25">
      <c r="A5469" t="s">
        <v>12599</v>
      </c>
      <c r="B5469">
        <v>572411</v>
      </c>
      <c r="C5469">
        <v>5869824</v>
      </c>
      <c r="D5469">
        <v>21</v>
      </c>
      <c r="E5469" t="s">
        <v>15</v>
      </c>
      <c r="F5469" t="s">
        <v>12600</v>
      </c>
      <c r="G5469">
        <v>1</v>
      </c>
      <c r="H5469" t="s">
        <v>7534</v>
      </c>
      <c r="I5469" t="s">
        <v>41</v>
      </c>
      <c r="J5469" t="s">
        <v>1233</v>
      </c>
      <c r="K5469" t="s">
        <v>20</v>
      </c>
      <c r="L5469" t="s">
        <v>12601</v>
      </c>
      <c r="M5469" s="3" t="str">
        <f>HYPERLINK("..\..\Imagery\ScannedPhotos\1986\CG86-352.jpg")</f>
        <v>..\..\Imagery\ScannedPhotos\1986\CG86-352.jpg</v>
      </c>
    </row>
    <row r="5470" spans="1:14" x14ac:dyDescent="0.25">
      <c r="A5470" t="s">
        <v>12602</v>
      </c>
      <c r="B5470">
        <v>573282</v>
      </c>
      <c r="C5470">
        <v>5869558</v>
      </c>
      <c r="D5470">
        <v>21</v>
      </c>
      <c r="E5470" t="s">
        <v>15</v>
      </c>
      <c r="F5470" t="s">
        <v>12603</v>
      </c>
      <c r="G5470">
        <v>1</v>
      </c>
      <c r="H5470" t="s">
        <v>7534</v>
      </c>
      <c r="I5470" t="s">
        <v>85</v>
      </c>
      <c r="J5470" t="s">
        <v>1233</v>
      </c>
      <c r="K5470" t="s">
        <v>20</v>
      </c>
      <c r="L5470" t="s">
        <v>12604</v>
      </c>
      <c r="M5470" s="3" t="str">
        <f>HYPERLINK("..\..\Imagery\ScannedPhotos\1986\CG86-354.jpg")</f>
        <v>..\..\Imagery\ScannedPhotos\1986\CG86-354.jpg</v>
      </c>
    </row>
    <row r="5471" spans="1:14" x14ac:dyDescent="0.25">
      <c r="A5471" t="s">
        <v>12605</v>
      </c>
      <c r="B5471">
        <v>574033</v>
      </c>
      <c r="C5471">
        <v>5869260</v>
      </c>
      <c r="D5471">
        <v>21</v>
      </c>
      <c r="E5471" t="s">
        <v>15</v>
      </c>
      <c r="F5471" t="s">
        <v>12606</v>
      </c>
      <c r="G5471">
        <v>1</v>
      </c>
      <c r="H5471" t="s">
        <v>7534</v>
      </c>
      <c r="I5471" t="s">
        <v>94</v>
      </c>
      <c r="J5471" t="s">
        <v>1233</v>
      </c>
      <c r="K5471" t="s">
        <v>20</v>
      </c>
      <c r="L5471" t="s">
        <v>12607</v>
      </c>
      <c r="M5471" s="3" t="str">
        <f>HYPERLINK("..\..\Imagery\ScannedPhotos\1986\CG86-356.jpg")</f>
        <v>..\..\Imagery\ScannedPhotos\1986\CG86-356.jpg</v>
      </c>
    </row>
    <row r="5472" spans="1:14" x14ac:dyDescent="0.25">
      <c r="A5472" t="s">
        <v>12608</v>
      </c>
      <c r="B5472">
        <v>574677</v>
      </c>
      <c r="C5472">
        <v>5866897</v>
      </c>
      <c r="D5472">
        <v>21</v>
      </c>
      <c r="E5472" t="s">
        <v>15</v>
      </c>
      <c r="F5472" t="s">
        <v>12609</v>
      </c>
      <c r="G5472">
        <v>1</v>
      </c>
      <c r="H5472" t="s">
        <v>7534</v>
      </c>
      <c r="I5472" t="s">
        <v>209</v>
      </c>
      <c r="J5472" t="s">
        <v>1233</v>
      </c>
      <c r="K5472" t="s">
        <v>20</v>
      </c>
      <c r="L5472" t="s">
        <v>12610</v>
      </c>
      <c r="M5472" s="3" t="str">
        <f>HYPERLINK("..\..\Imagery\ScannedPhotos\1986\CG86-364.jpg")</f>
        <v>..\..\Imagery\ScannedPhotos\1986\CG86-364.jpg</v>
      </c>
    </row>
    <row r="5473" spans="1:14" x14ac:dyDescent="0.25">
      <c r="A5473" t="s">
        <v>12611</v>
      </c>
      <c r="B5473">
        <v>573699</v>
      </c>
      <c r="C5473">
        <v>5866115</v>
      </c>
      <c r="D5473">
        <v>21</v>
      </c>
      <c r="E5473" t="s">
        <v>15</v>
      </c>
      <c r="F5473" t="s">
        <v>12612</v>
      </c>
      <c r="G5473">
        <v>2</v>
      </c>
      <c r="H5473" t="s">
        <v>7534</v>
      </c>
      <c r="I5473" t="s">
        <v>217</v>
      </c>
      <c r="J5473" t="s">
        <v>1233</v>
      </c>
      <c r="K5473" t="s">
        <v>20</v>
      </c>
      <c r="L5473" t="s">
        <v>12613</v>
      </c>
      <c r="M5473" s="3" t="str">
        <f>HYPERLINK("..\..\Imagery\ScannedPhotos\1986\CG86-369.1.jpg")</f>
        <v>..\..\Imagery\ScannedPhotos\1986\CG86-369.1.jpg</v>
      </c>
    </row>
    <row r="5474" spans="1:14" x14ac:dyDescent="0.25">
      <c r="A5474" t="s">
        <v>12611</v>
      </c>
      <c r="B5474">
        <v>573699</v>
      </c>
      <c r="C5474">
        <v>5866115</v>
      </c>
      <c r="D5474">
        <v>21</v>
      </c>
      <c r="E5474" t="s">
        <v>15</v>
      </c>
      <c r="F5474" t="s">
        <v>12614</v>
      </c>
      <c r="G5474">
        <v>2</v>
      </c>
      <c r="H5474" t="s">
        <v>7534</v>
      </c>
      <c r="I5474" t="s">
        <v>214</v>
      </c>
      <c r="J5474" t="s">
        <v>1233</v>
      </c>
      <c r="K5474" t="s">
        <v>20</v>
      </c>
      <c r="L5474" t="s">
        <v>12615</v>
      </c>
      <c r="M5474" s="3" t="str">
        <f>HYPERLINK("..\..\Imagery\ScannedPhotos\1986\CG86-369.2.jpg")</f>
        <v>..\..\Imagery\ScannedPhotos\1986\CG86-369.2.jpg</v>
      </c>
    </row>
    <row r="5475" spans="1:14" x14ac:dyDescent="0.25">
      <c r="A5475" t="s">
        <v>12616</v>
      </c>
      <c r="B5475">
        <v>577160</v>
      </c>
      <c r="C5475">
        <v>5862881</v>
      </c>
      <c r="D5475">
        <v>21</v>
      </c>
      <c r="E5475" t="s">
        <v>15</v>
      </c>
      <c r="F5475" t="s">
        <v>12617</v>
      </c>
      <c r="G5475">
        <v>1</v>
      </c>
      <c r="H5475" t="s">
        <v>7534</v>
      </c>
      <c r="I5475" t="s">
        <v>129</v>
      </c>
      <c r="J5475" t="s">
        <v>1233</v>
      </c>
      <c r="K5475" t="s">
        <v>20</v>
      </c>
      <c r="L5475" t="s">
        <v>12618</v>
      </c>
      <c r="M5475" s="3" t="str">
        <f>HYPERLINK("..\..\Imagery\ScannedPhotos\1986\CG86-394.jpg")</f>
        <v>..\..\Imagery\ScannedPhotos\1986\CG86-394.jpg</v>
      </c>
    </row>
    <row r="5476" spans="1:14" x14ac:dyDescent="0.25">
      <c r="A5476" t="s">
        <v>12619</v>
      </c>
      <c r="B5476">
        <v>578521</v>
      </c>
      <c r="C5476">
        <v>5864048</v>
      </c>
      <c r="D5476">
        <v>21</v>
      </c>
      <c r="E5476" t="s">
        <v>15</v>
      </c>
      <c r="F5476" t="s">
        <v>12620</v>
      </c>
      <c r="G5476">
        <v>2</v>
      </c>
      <c r="H5476" t="s">
        <v>7534</v>
      </c>
      <c r="I5476" t="s">
        <v>147</v>
      </c>
      <c r="J5476" t="s">
        <v>1233</v>
      </c>
      <c r="K5476" t="s">
        <v>20</v>
      </c>
      <c r="L5476" t="s">
        <v>12621</v>
      </c>
      <c r="M5476" s="3" t="str">
        <f>HYPERLINK("..\..\Imagery\ScannedPhotos\1986\CG86-437.1.jpg")</f>
        <v>..\..\Imagery\ScannedPhotos\1986\CG86-437.1.jpg</v>
      </c>
    </row>
    <row r="5477" spans="1:14" x14ac:dyDescent="0.25">
      <c r="A5477" t="s">
        <v>12619</v>
      </c>
      <c r="B5477">
        <v>578521</v>
      </c>
      <c r="C5477">
        <v>5864048</v>
      </c>
      <c r="D5477">
        <v>21</v>
      </c>
      <c r="E5477" t="s">
        <v>15</v>
      </c>
      <c r="F5477" t="s">
        <v>12622</v>
      </c>
      <c r="G5477">
        <v>2</v>
      </c>
      <c r="H5477" t="s">
        <v>7534</v>
      </c>
      <c r="I5477" t="s">
        <v>47</v>
      </c>
      <c r="J5477" t="s">
        <v>1233</v>
      </c>
      <c r="K5477" t="s">
        <v>20</v>
      </c>
      <c r="L5477" t="s">
        <v>12621</v>
      </c>
      <c r="M5477" s="3" t="str">
        <f>HYPERLINK("..\..\Imagery\ScannedPhotos\1986\CG86-437.2.jpg")</f>
        <v>..\..\Imagery\ScannedPhotos\1986\CG86-437.2.jpg</v>
      </c>
    </row>
    <row r="5478" spans="1:14" x14ac:dyDescent="0.25">
      <c r="A5478" t="s">
        <v>11600</v>
      </c>
      <c r="B5478">
        <v>580896</v>
      </c>
      <c r="C5478">
        <v>5863938</v>
      </c>
      <c r="D5478">
        <v>21</v>
      </c>
      <c r="E5478" t="s">
        <v>15</v>
      </c>
      <c r="F5478" t="s">
        <v>12623</v>
      </c>
      <c r="G5478">
        <v>1</v>
      </c>
      <c r="H5478" t="s">
        <v>7534</v>
      </c>
      <c r="I5478" t="s">
        <v>65</v>
      </c>
      <c r="J5478" t="s">
        <v>1233</v>
      </c>
      <c r="K5478" t="s">
        <v>535</v>
      </c>
      <c r="L5478" t="s">
        <v>12624</v>
      </c>
      <c r="M5478" s="3" t="str">
        <f>HYPERLINK("..\..\Imagery\ScannedPhotos\1986\CG86-443.2.jpg")</f>
        <v>..\..\Imagery\ScannedPhotos\1986\CG86-443.2.jpg</v>
      </c>
    </row>
    <row r="5479" spans="1:14" x14ac:dyDescent="0.25">
      <c r="A5479" t="s">
        <v>9275</v>
      </c>
      <c r="B5479">
        <v>471470</v>
      </c>
      <c r="C5479">
        <v>6004481</v>
      </c>
      <c r="D5479">
        <v>21</v>
      </c>
      <c r="E5479" t="s">
        <v>15</v>
      </c>
      <c r="F5479" t="s">
        <v>12625</v>
      </c>
      <c r="G5479">
        <v>14</v>
      </c>
      <c r="H5479" t="s">
        <v>806</v>
      </c>
      <c r="I5479" t="s">
        <v>222</v>
      </c>
      <c r="J5479" t="s">
        <v>807</v>
      </c>
      <c r="K5479" t="s">
        <v>20</v>
      </c>
      <c r="L5479" t="s">
        <v>12626</v>
      </c>
      <c r="M5479" s="3" t="str">
        <f>HYPERLINK("..\..\Imagery\ScannedPhotos\1980\CG80-350.7cropped.jpg")</f>
        <v>..\..\Imagery\ScannedPhotos\1980\CG80-350.7cropped.jpg</v>
      </c>
      <c r="N5479" t="s">
        <v>4297</v>
      </c>
    </row>
    <row r="5480" spans="1:14" x14ac:dyDescent="0.25">
      <c r="A5480" t="s">
        <v>12627</v>
      </c>
      <c r="B5480">
        <v>585432</v>
      </c>
      <c r="C5480">
        <v>5812031</v>
      </c>
      <c r="D5480">
        <v>21</v>
      </c>
      <c r="E5480" t="s">
        <v>15</v>
      </c>
      <c r="F5480" t="s">
        <v>12628</v>
      </c>
      <c r="G5480">
        <v>1</v>
      </c>
      <c r="H5480" t="s">
        <v>1171</v>
      </c>
      <c r="I5480" t="s">
        <v>209</v>
      </c>
      <c r="J5480" t="s">
        <v>563</v>
      </c>
      <c r="K5480" t="s">
        <v>20</v>
      </c>
      <c r="L5480" t="s">
        <v>12629</v>
      </c>
      <c r="M5480" s="3" t="str">
        <f>HYPERLINK("..\..\Imagery\ScannedPhotos\1987\S23cropped.jpg")</f>
        <v>..\..\Imagery\ScannedPhotos\1987\S23cropped.jpg</v>
      </c>
      <c r="N5480" t="s">
        <v>4297</v>
      </c>
    </row>
    <row r="5481" spans="1:14" x14ac:dyDescent="0.25">
      <c r="A5481" t="s">
        <v>6297</v>
      </c>
      <c r="B5481">
        <v>453625</v>
      </c>
      <c r="C5481">
        <v>5827650</v>
      </c>
      <c r="D5481">
        <v>21</v>
      </c>
      <c r="E5481" t="s">
        <v>15</v>
      </c>
      <c r="F5481" t="s">
        <v>12630</v>
      </c>
      <c r="G5481">
        <v>5</v>
      </c>
      <c r="H5481" t="s">
        <v>6287</v>
      </c>
      <c r="I5481" t="s">
        <v>94</v>
      </c>
      <c r="J5481" t="s">
        <v>6288</v>
      </c>
      <c r="K5481" t="s">
        <v>20</v>
      </c>
      <c r="L5481" t="s">
        <v>6299</v>
      </c>
      <c r="M5481" s="3" t="str">
        <f>HYPERLINK("..\..\Imagery\ScannedPhotos\1991\CG91-072.1cropped.jpg")</f>
        <v>..\..\Imagery\ScannedPhotos\1991\CG91-072.1cropped.jpg</v>
      </c>
      <c r="N5481" t="s">
        <v>4297</v>
      </c>
    </row>
    <row r="5482" spans="1:14" x14ac:dyDescent="0.25">
      <c r="A5482" t="s">
        <v>2798</v>
      </c>
      <c r="B5482">
        <v>491043</v>
      </c>
      <c r="C5482">
        <v>5840624</v>
      </c>
      <c r="D5482">
        <v>21</v>
      </c>
      <c r="E5482" t="s">
        <v>15</v>
      </c>
      <c r="F5482" t="s">
        <v>12631</v>
      </c>
      <c r="G5482">
        <v>3</v>
      </c>
      <c r="H5482" t="s">
        <v>40</v>
      </c>
      <c r="I5482" t="s">
        <v>386</v>
      </c>
      <c r="J5482" t="s">
        <v>42</v>
      </c>
      <c r="K5482" t="s">
        <v>20</v>
      </c>
      <c r="L5482" t="s">
        <v>2800</v>
      </c>
      <c r="M5482" s="3" t="str">
        <f>HYPERLINK("..\..\Imagery\ScannedPhotos\1991\DD91-049.3cropped.jpg")</f>
        <v>..\..\Imagery\ScannedPhotos\1991\DD91-049.3cropped.jpg</v>
      </c>
      <c r="N5482" t="s">
        <v>4297</v>
      </c>
    </row>
    <row r="5483" spans="1:14" x14ac:dyDescent="0.25">
      <c r="A5483" t="s">
        <v>12632</v>
      </c>
      <c r="B5483">
        <v>485283</v>
      </c>
      <c r="C5483">
        <v>5852040</v>
      </c>
      <c r="D5483">
        <v>21</v>
      </c>
      <c r="E5483" t="s">
        <v>15</v>
      </c>
      <c r="F5483" t="s">
        <v>12633</v>
      </c>
      <c r="G5483">
        <v>3</v>
      </c>
      <c r="H5483" t="s">
        <v>412</v>
      </c>
      <c r="I5483" t="s">
        <v>69</v>
      </c>
      <c r="J5483" t="s">
        <v>413</v>
      </c>
      <c r="K5483" t="s">
        <v>20</v>
      </c>
      <c r="L5483" t="s">
        <v>10549</v>
      </c>
      <c r="M5483" s="3" t="str">
        <f>HYPERLINK("..\..\Imagery\ScannedPhotos\1991\DD91-080.2cropped.jpg")</f>
        <v>..\..\Imagery\ScannedPhotos\1991\DD91-080.2cropped.jpg</v>
      </c>
      <c r="N5483" t="s">
        <v>4297</v>
      </c>
    </row>
    <row r="5484" spans="1:14" x14ac:dyDescent="0.25">
      <c r="A5484" t="s">
        <v>8282</v>
      </c>
      <c r="B5484">
        <v>485750</v>
      </c>
      <c r="C5484">
        <v>5841008</v>
      </c>
      <c r="D5484">
        <v>21</v>
      </c>
      <c r="E5484" t="s">
        <v>15</v>
      </c>
      <c r="F5484" t="s">
        <v>12634</v>
      </c>
      <c r="G5484">
        <v>2</v>
      </c>
      <c r="H5484" t="s">
        <v>1128</v>
      </c>
      <c r="I5484" t="s">
        <v>47</v>
      </c>
      <c r="J5484" t="s">
        <v>1129</v>
      </c>
      <c r="K5484" t="s">
        <v>20</v>
      </c>
      <c r="L5484" t="s">
        <v>12635</v>
      </c>
      <c r="M5484" s="3" t="str">
        <f>HYPERLINK("..\..\Imagery\ScannedPhotos\1991\VN91-118.1cropped.jpg")</f>
        <v>..\..\Imagery\ScannedPhotos\1991\VN91-118.1cropped.jpg</v>
      </c>
      <c r="N5484" t="s">
        <v>4297</v>
      </c>
    </row>
    <row r="5485" spans="1:14" x14ac:dyDescent="0.25">
      <c r="A5485" t="s">
        <v>12636</v>
      </c>
      <c r="B5485">
        <v>488600</v>
      </c>
      <c r="C5485">
        <v>5828950</v>
      </c>
      <c r="D5485">
        <v>21</v>
      </c>
      <c r="E5485" t="s">
        <v>15</v>
      </c>
      <c r="F5485" t="s">
        <v>12637</v>
      </c>
      <c r="G5485">
        <v>1</v>
      </c>
      <c r="H5485" t="s">
        <v>2789</v>
      </c>
      <c r="I5485" t="s">
        <v>85</v>
      </c>
      <c r="J5485" t="s">
        <v>413</v>
      </c>
      <c r="K5485" t="s">
        <v>20</v>
      </c>
      <c r="L5485" t="s">
        <v>12638</v>
      </c>
      <c r="M5485" s="3" t="str">
        <f>HYPERLINK("..\..\Imagery\ScannedPhotos\1991\VN91-126cropped.jpg")</f>
        <v>..\..\Imagery\ScannedPhotos\1991\VN91-126cropped.jpg</v>
      </c>
      <c r="N5485" t="s">
        <v>4297</v>
      </c>
    </row>
    <row r="5486" spans="1:14" x14ac:dyDescent="0.25">
      <c r="A5486" t="s">
        <v>1612</v>
      </c>
      <c r="B5486">
        <v>462216</v>
      </c>
      <c r="C5486">
        <v>5837217</v>
      </c>
      <c r="D5486">
        <v>21</v>
      </c>
      <c r="E5486" t="s">
        <v>15</v>
      </c>
      <c r="F5486" t="s">
        <v>12639</v>
      </c>
      <c r="G5486">
        <v>8</v>
      </c>
      <c r="H5486" t="s">
        <v>1163</v>
      </c>
      <c r="I5486" t="s">
        <v>281</v>
      </c>
      <c r="J5486" t="s">
        <v>814</v>
      </c>
      <c r="K5486" t="s">
        <v>20</v>
      </c>
      <c r="L5486" t="s">
        <v>12640</v>
      </c>
      <c r="M5486" s="3" t="str">
        <f>HYPERLINK("..\..\Imagery\ScannedPhotos\1991\VN91-233.8cropped.jpg")</f>
        <v>..\..\Imagery\ScannedPhotos\1991\VN91-233.8cropped.jpg</v>
      </c>
      <c r="N5486" t="s">
        <v>4297</v>
      </c>
    </row>
    <row r="5487" spans="1:14" x14ac:dyDescent="0.25">
      <c r="A5487" t="s">
        <v>3548</v>
      </c>
      <c r="B5487">
        <v>472050</v>
      </c>
      <c r="C5487">
        <v>5859375</v>
      </c>
      <c r="D5487">
        <v>21</v>
      </c>
      <c r="E5487" t="s">
        <v>15</v>
      </c>
      <c r="F5487" t="s">
        <v>12641</v>
      </c>
      <c r="G5487">
        <v>19</v>
      </c>
      <c r="H5487" t="s">
        <v>1037</v>
      </c>
      <c r="I5487" t="s">
        <v>126</v>
      </c>
      <c r="J5487" t="s">
        <v>1038</v>
      </c>
      <c r="K5487" t="s">
        <v>20</v>
      </c>
      <c r="L5487" t="s">
        <v>8609</v>
      </c>
      <c r="M5487" s="3" t="str">
        <f>HYPERLINK("..\..\Imagery\ScannedPhotos\1991\VN91-264.16cropped.jpg")</f>
        <v>..\..\Imagery\ScannedPhotos\1991\VN91-264.16cropped.jpg</v>
      </c>
      <c r="N5487" t="s">
        <v>4297</v>
      </c>
    </row>
    <row r="5488" spans="1:14" x14ac:dyDescent="0.25">
      <c r="A5488" t="s">
        <v>5569</v>
      </c>
      <c r="B5488">
        <v>438839</v>
      </c>
      <c r="C5488">
        <v>5853799</v>
      </c>
      <c r="D5488">
        <v>21</v>
      </c>
      <c r="E5488" t="s">
        <v>15</v>
      </c>
      <c r="F5488" t="s">
        <v>12642</v>
      </c>
      <c r="G5488">
        <v>3</v>
      </c>
      <c r="H5488" t="s">
        <v>2521</v>
      </c>
      <c r="I5488" t="s">
        <v>25</v>
      </c>
      <c r="J5488" t="s">
        <v>2522</v>
      </c>
      <c r="K5488" t="s">
        <v>20</v>
      </c>
      <c r="L5488" t="s">
        <v>5571</v>
      </c>
      <c r="M5488" s="3" t="str">
        <f>HYPERLINK("..\..\Imagery\ScannedPhotos\1991\VN91-411.2cropped.jpg")</f>
        <v>..\..\Imagery\ScannedPhotos\1991\VN91-411.2cropped.jpg</v>
      </c>
      <c r="N5488" t="s">
        <v>4297</v>
      </c>
    </row>
    <row r="5489" spans="1:14" x14ac:dyDescent="0.25">
      <c r="A5489" t="s">
        <v>12643</v>
      </c>
      <c r="B5489">
        <v>435745</v>
      </c>
      <c r="C5489">
        <v>5829704</v>
      </c>
      <c r="D5489">
        <v>21</v>
      </c>
      <c r="E5489" t="s">
        <v>15</v>
      </c>
      <c r="F5489" t="s">
        <v>12644</v>
      </c>
      <c r="G5489">
        <v>1</v>
      </c>
      <c r="H5489" t="s">
        <v>1037</v>
      </c>
      <c r="I5489" t="s">
        <v>209</v>
      </c>
      <c r="J5489" t="s">
        <v>1038</v>
      </c>
      <c r="K5489" t="s">
        <v>20</v>
      </c>
      <c r="L5489" t="s">
        <v>10531</v>
      </c>
      <c r="M5489" s="3" t="str">
        <f>HYPERLINK("..\..\Imagery\ScannedPhotos\1991\VN91-443cropped.jpg")</f>
        <v>..\..\Imagery\ScannedPhotos\1991\VN91-443cropped.jpg</v>
      </c>
      <c r="N5489" t="s">
        <v>4297</v>
      </c>
    </row>
    <row r="5490" spans="1:14" x14ac:dyDescent="0.25">
      <c r="A5490" t="s">
        <v>3548</v>
      </c>
      <c r="B5490">
        <v>472050</v>
      </c>
      <c r="C5490">
        <v>5859375</v>
      </c>
      <c r="D5490">
        <v>21</v>
      </c>
      <c r="E5490" t="s">
        <v>15</v>
      </c>
      <c r="F5490" t="s">
        <v>12645</v>
      </c>
      <c r="G5490">
        <v>19</v>
      </c>
      <c r="H5490" t="s">
        <v>6287</v>
      </c>
      <c r="I5490" t="s">
        <v>375</v>
      </c>
      <c r="J5490" t="s">
        <v>6288</v>
      </c>
      <c r="K5490" t="s">
        <v>228</v>
      </c>
      <c r="L5490" t="s">
        <v>12646</v>
      </c>
      <c r="M5490" s="3" t="str">
        <f>HYPERLINK("..\..\Imagery\ScannedPhotos\1991\VN91-264.3E.jpg")</f>
        <v>..\..\Imagery\ScannedPhotos\1991\VN91-264.3E.jpg</v>
      </c>
      <c r="N5490" t="s">
        <v>1808</v>
      </c>
    </row>
    <row r="5491" spans="1:14" x14ac:dyDescent="0.25">
      <c r="A5491" t="s">
        <v>1039</v>
      </c>
      <c r="B5491">
        <v>497507</v>
      </c>
      <c r="C5491">
        <v>5819366</v>
      </c>
      <c r="D5491">
        <v>21</v>
      </c>
      <c r="E5491" t="s">
        <v>15</v>
      </c>
      <c r="F5491" t="s">
        <v>12647</v>
      </c>
      <c r="G5491">
        <v>8</v>
      </c>
      <c r="H5491" t="s">
        <v>813</v>
      </c>
      <c r="I5491" t="s">
        <v>294</v>
      </c>
      <c r="J5491" t="s">
        <v>814</v>
      </c>
      <c r="K5491" t="s">
        <v>535</v>
      </c>
      <c r="L5491" t="s">
        <v>12648</v>
      </c>
      <c r="M5491" s="3" t="str">
        <f>HYPERLINK("..\..\Imagery\ScannedPhotos\1991\VN91-020.8E.jpg")</f>
        <v>..\..\Imagery\ScannedPhotos\1991\VN91-020.8E.jpg</v>
      </c>
      <c r="N5491" t="s">
        <v>1808</v>
      </c>
    </row>
    <row r="5492" spans="1:14" x14ac:dyDescent="0.25">
      <c r="A5492" t="s">
        <v>12649</v>
      </c>
      <c r="B5492">
        <v>494288</v>
      </c>
      <c r="C5492">
        <v>5820893</v>
      </c>
      <c r="D5492">
        <v>21</v>
      </c>
      <c r="E5492" t="s">
        <v>15</v>
      </c>
      <c r="F5492" t="s">
        <v>12650</v>
      </c>
      <c r="G5492">
        <v>1</v>
      </c>
      <c r="H5492" t="s">
        <v>3330</v>
      </c>
      <c r="I5492" t="s">
        <v>35</v>
      </c>
      <c r="J5492" t="s">
        <v>850</v>
      </c>
      <c r="K5492" t="s">
        <v>20</v>
      </c>
      <c r="L5492" t="s">
        <v>324</v>
      </c>
      <c r="M5492" s="3" t="str">
        <f>HYPERLINK("..\..\Imagery\ScannedPhotos\1991\DD91-002E.jpg")</f>
        <v>..\..\Imagery\ScannedPhotos\1991\DD91-002E.jpg</v>
      </c>
      <c r="N5492" t="s">
        <v>1808</v>
      </c>
    </row>
    <row r="5493" spans="1:14" x14ac:dyDescent="0.25">
      <c r="A5493" t="s">
        <v>5453</v>
      </c>
      <c r="B5493">
        <v>489358</v>
      </c>
      <c r="C5493">
        <v>5823025</v>
      </c>
      <c r="D5493">
        <v>21</v>
      </c>
      <c r="E5493" t="s">
        <v>15</v>
      </c>
      <c r="F5493" t="s">
        <v>12651</v>
      </c>
      <c r="G5493">
        <v>3</v>
      </c>
      <c r="H5493" t="s">
        <v>2521</v>
      </c>
      <c r="I5493" t="s">
        <v>386</v>
      </c>
      <c r="J5493" t="s">
        <v>2522</v>
      </c>
      <c r="K5493" t="s">
        <v>20</v>
      </c>
      <c r="L5493" t="s">
        <v>12652</v>
      </c>
      <c r="M5493" s="3" t="str">
        <f>HYPERLINK("..\..\Imagery\ScannedPhotos\1991\VN91-392.1E.jpg")</f>
        <v>..\..\Imagery\ScannedPhotos\1991\VN91-392.1E.jpg</v>
      </c>
      <c r="N5493" t="s">
        <v>1808</v>
      </c>
    </row>
    <row r="5494" spans="1:14" x14ac:dyDescent="0.25">
      <c r="A5494" t="s">
        <v>12653</v>
      </c>
      <c r="B5494">
        <v>483875</v>
      </c>
      <c r="C5494">
        <v>5803250</v>
      </c>
      <c r="D5494">
        <v>21</v>
      </c>
      <c r="E5494" t="s">
        <v>15</v>
      </c>
      <c r="F5494" t="s">
        <v>12654</v>
      </c>
      <c r="G5494">
        <v>1</v>
      </c>
      <c r="H5494" t="s">
        <v>813</v>
      </c>
      <c r="I5494" t="s">
        <v>129</v>
      </c>
      <c r="J5494" t="s">
        <v>814</v>
      </c>
      <c r="K5494" t="s">
        <v>56</v>
      </c>
      <c r="L5494" t="s">
        <v>12655</v>
      </c>
      <c r="M5494" s="3" t="str">
        <f>HYPERLINK("..\..\Imagery\ScannedPhotos\1992\CG92-083cropped.jpg")</f>
        <v>..\..\Imagery\ScannedPhotos\1992\CG92-083cropped.jpg</v>
      </c>
      <c r="N5494" t="s">
        <v>4297</v>
      </c>
    </row>
    <row r="5495" spans="1:14" x14ac:dyDescent="0.25">
      <c r="A5495" t="s">
        <v>12656</v>
      </c>
      <c r="B5495">
        <v>475450</v>
      </c>
      <c r="C5495">
        <v>5802019</v>
      </c>
      <c r="D5495">
        <v>21</v>
      </c>
      <c r="E5495" t="s">
        <v>15</v>
      </c>
      <c r="F5495" t="s">
        <v>12657</v>
      </c>
      <c r="G5495">
        <v>1</v>
      </c>
      <c r="H5495" t="s">
        <v>813</v>
      </c>
      <c r="I5495" t="s">
        <v>147</v>
      </c>
      <c r="J5495" t="s">
        <v>814</v>
      </c>
      <c r="K5495" t="s">
        <v>20</v>
      </c>
      <c r="L5495" t="s">
        <v>12658</v>
      </c>
      <c r="M5495" s="3" t="str">
        <f>HYPERLINK("..\..\Imagery\ScannedPhotos\1992\CG92-091cropped.jpg")</f>
        <v>..\..\Imagery\ScannedPhotos\1992\CG92-091cropped.jpg</v>
      </c>
      <c r="N5495" t="s">
        <v>4297</v>
      </c>
    </row>
    <row r="5496" spans="1:14" x14ac:dyDescent="0.25">
      <c r="A5496" t="s">
        <v>1109</v>
      </c>
      <c r="B5496">
        <v>433587</v>
      </c>
      <c r="C5496">
        <v>5787108</v>
      </c>
      <c r="D5496">
        <v>21</v>
      </c>
      <c r="E5496" t="s">
        <v>15</v>
      </c>
      <c r="F5496" t="s">
        <v>12659</v>
      </c>
      <c r="G5496">
        <v>2</v>
      </c>
      <c r="H5496" t="s">
        <v>1107</v>
      </c>
      <c r="I5496" t="s">
        <v>69</v>
      </c>
      <c r="J5496" t="s">
        <v>747</v>
      </c>
      <c r="K5496" t="s">
        <v>56</v>
      </c>
      <c r="L5496" t="s">
        <v>1111</v>
      </c>
      <c r="M5496" s="3" t="str">
        <f>HYPERLINK("..\..\Imagery\ScannedPhotos\1992\CG92-118.2cropped.jpg")</f>
        <v>..\..\Imagery\ScannedPhotos\1992\CG92-118.2cropped.jpg</v>
      </c>
      <c r="N5496" t="s">
        <v>4297</v>
      </c>
    </row>
    <row r="5497" spans="1:14" x14ac:dyDescent="0.25">
      <c r="A5497" t="s">
        <v>12660</v>
      </c>
      <c r="B5497">
        <v>447356</v>
      </c>
      <c r="C5497">
        <v>5778196</v>
      </c>
      <c r="D5497">
        <v>21</v>
      </c>
      <c r="E5497" t="s">
        <v>15</v>
      </c>
      <c r="F5497" t="s">
        <v>12661</v>
      </c>
      <c r="G5497">
        <v>1</v>
      </c>
      <c r="H5497" t="s">
        <v>1107</v>
      </c>
      <c r="I5497" t="s">
        <v>418</v>
      </c>
      <c r="J5497" t="s">
        <v>747</v>
      </c>
      <c r="K5497" t="s">
        <v>56</v>
      </c>
      <c r="L5497" t="s">
        <v>2616</v>
      </c>
      <c r="M5497" s="3" t="str">
        <f>HYPERLINK("..\..\Imagery\ScannedPhotos\1992\CG92-138cropped.jpg")</f>
        <v>..\..\Imagery\ScannedPhotos\1992\CG92-138cropped.jpg</v>
      </c>
      <c r="N5497" t="s">
        <v>4297</v>
      </c>
    </row>
    <row r="5498" spans="1:14" x14ac:dyDescent="0.25">
      <c r="A5498" t="s">
        <v>8272</v>
      </c>
      <c r="B5498">
        <v>444033</v>
      </c>
      <c r="C5498">
        <v>5763428</v>
      </c>
      <c r="D5498">
        <v>21</v>
      </c>
      <c r="E5498" t="s">
        <v>15</v>
      </c>
      <c r="F5498" t="s">
        <v>12662</v>
      </c>
      <c r="G5498">
        <v>3</v>
      </c>
      <c r="H5498" t="s">
        <v>746</v>
      </c>
      <c r="I5498" t="s">
        <v>74</v>
      </c>
      <c r="J5498" t="s">
        <v>747</v>
      </c>
      <c r="K5498" t="s">
        <v>56</v>
      </c>
      <c r="L5498" t="s">
        <v>8274</v>
      </c>
      <c r="M5498" s="3" t="str">
        <f>HYPERLINK("..\..\Imagery\ScannedPhotos\1992\CG92-164.2cropped.jpg")</f>
        <v>..\..\Imagery\ScannedPhotos\1992\CG92-164.2cropped.jpg</v>
      </c>
      <c r="N5498" t="s">
        <v>4297</v>
      </c>
    </row>
    <row r="5499" spans="1:14" x14ac:dyDescent="0.25">
      <c r="A5499" t="s">
        <v>12663</v>
      </c>
      <c r="B5499">
        <v>466645</v>
      </c>
      <c r="C5499">
        <v>5771401</v>
      </c>
      <c r="D5499">
        <v>21</v>
      </c>
      <c r="E5499" t="s">
        <v>15</v>
      </c>
      <c r="F5499" t="s">
        <v>12664</v>
      </c>
      <c r="G5499">
        <v>1</v>
      </c>
      <c r="H5499" t="s">
        <v>746</v>
      </c>
      <c r="I5499" t="s">
        <v>25</v>
      </c>
      <c r="J5499" t="s">
        <v>747</v>
      </c>
      <c r="K5499" t="s">
        <v>20</v>
      </c>
      <c r="L5499" t="s">
        <v>12665</v>
      </c>
      <c r="M5499" s="3" t="str">
        <f>HYPERLINK("..\..\Imagery\ScannedPhotos\1992\CG92-215cropped.jpg")</f>
        <v>..\..\Imagery\ScannedPhotos\1992\CG92-215cropped.jpg</v>
      </c>
      <c r="N5499" t="s">
        <v>4297</v>
      </c>
    </row>
    <row r="5500" spans="1:14" x14ac:dyDescent="0.25">
      <c r="A5500" t="s">
        <v>12666</v>
      </c>
      <c r="B5500">
        <v>473159</v>
      </c>
      <c r="C5500">
        <v>5765539</v>
      </c>
      <c r="D5500">
        <v>21</v>
      </c>
      <c r="E5500" t="s">
        <v>15</v>
      </c>
      <c r="F5500" t="s">
        <v>12667</v>
      </c>
      <c r="G5500">
        <v>1</v>
      </c>
      <c r="H5500" t="s">
        <v>746</v>
      </c>
      <c r="I5500" t="s">
        <v>647</v>
      </c>
      <c r="J5500" t="s">
        <v>747</v>
      </c>
      <c r="K5500" t="s">
        <v>56</v>
      </c>
      <c r="L5500" t="s">
        <v>12668</v>
      </c>
      <c r="M5500" s="3" t="str">
        <f>HYPERLINK("..\..\Imagery\ScannedPhotos\1992\CG92-234cropped.jpg")</f>
        <v>..\..\Imagery\ScannedPhotos\1992\CG92-234cropped.jpg</v>
      </c>
      <c r="N5500" t="s">
        <v>4297</v>
      </c>
    </row>
    <row r="5501" spans="1:14" x14ac:dyDescent="0.25">
      <c r="A5501" t="s">
        <v>3722</v>
      </c>
      <c r="B5501">
        <v>495907</v>
      </c>
      <c r="C5501">
        <v>5786806</v>
      </c>
      <c r="D5501">
        <v>21</v>
      </c>
      <c r="E5501" t="s">
        <v>15</v>
      </c>
      <c r="F5501" t="s">
        <v>12669</v>
      </c>
      <c r="G5501">
        <v>4</v>
      </c>
      <c r="H5501" t="s">
        <v>746</v>
      </c>
      <c r="I5501" t="s">
        <v>143</v>
      </c>
      <c r="J5501" t="s">
        <v>747</v>
      </c>
      <c r="K5501" t="s">
        <v>56</v>
      </c>
      <c r="L5501" t="s">
        <v>3724</v>
      </c>
      <c r="M5501" s="3" t="str">
        <f>HYPERLINK("..\..\Imagery\ScannedPhotos\1992\CG92-281.1cropped.jpg")</f>
        <v>..\..\Imagery\ScannedPhotos\1992\CG92-281.1cropped.jpg</v>
      </c>
      <c r="N5501" t="s">
        <v>4297</v>
      </c>
    </row>
    <row r="5502" spans="1:14" x14ac:dyDescent="0.25">
      <c r="A5502" t="s">
        <v>12670</v>
      </c>
      <c r="B5502">
        <v>468722</v>
      </c>
      <c r="C5502">
        <v>5810397</v>
      </c>
      <c r="D5502">
        <v>21</v>
      </c>
      <c r="E5502" t="s">
        <v>15</v>
      </c>
      <c r="F5502" t="s">
        <v>12671</v>
      </c>
      <c r="G5502">
        <v>1</v>
      </c>
      <c r="H5502" t="s">
        <v>2344</v>
      </c>
      <c r="I5502" t="s">
        <v>41</v>
      </c>
      <c r="J5502" t="s">
        <v>2341</v>
      </c>
      <c r="K5502" t="s">
        <v>56</v>
      </c>
      <c r="L5502" t="s">
        <v>12672</v>
      </c>
      <c r="M5502" s="3" t="str">
        <f>HYPERLINK("..\..\Imagery\ScannedPhotos\1992\JA92-029cropped.jpg")</f>
        <v>..\..\Imagery\ScannedPhotos\1992\JA92-029cropped.jpg</v>
      </c>
      <c r="N5502" t="s">
        <v>4297</v>
      </c>
    </row>
    <row r="5503" spans="1:14" x14ac:dyDescent="0.25">
      <c r="A5503" t="s">
        <v>12673</v>
      </c>
      <c r="B5503">
        <v>443570</v>
      </c>
      <c r="C5503">
        <v>5806819</v>
      </c>
      <c r="D5503">
        <v>21</v>
      </c>
      <c r="E5503" t="s">
        <v>15</v>
      </c>
      <c r="F5503" t="s">
        <v>12674</v>
      </c>
      <c r="G5503">
        <v>1</v>
      </c>
      <c r="H5503" t="s">
        <v>2344</v>
      </c>
      <c r="I5503" t="s">
        <v>108</v>
      </c>
      <c r="J5503" t="s">
        <v>2341</v>
      </c>
      <c r="K5503" t="s">
        <v>20</v>
      </c>
      <c r="L5503" t="s">
        <v>12675</v>
      </c>
      <c r="M5503" s="3" t="str">
        <f>HYPERLINK("..\..\Imagery\ScannedPhotos\1992\JA92-058cropped.jpg")</f>
        <v>..\..\Imagery\ScannedPhotos\1992\JA92-058cropped.jpg</v>
      </c>
      <c r="N5503" t="s">
        <v>4297</v>
      </c>
    </row>
    <row r="5504" spans="1:14" x14ac:dyDescent="0.25">
      <c r="A5504" t="s">
        <v>12315</v>
      </c>
      <c r="B5504">
        <v>439668</v>
      </c>
      <c r="C5504">
        <v>5776054</v>
      </c>
      <c r="D5504">
        <v>21</v>
      </c>
      <c r="E5504" t="s">
        <v>15</v>
      </c>
      <c r="F5504" t="s">
        <v>12676</v>
      </c>
      <c r="G5504">
        <v>2</v>
      </c>
      <c r="H5504" t="s">
        <v>2563</v>
      </c>
      <c r="I5504" t="s">
        <v>386</v>
      </c>
      <c r="J5504" t="s">
        <v>905</v>
      </c>
      <c r="K5504" t="s">
        <v>56</v>
      </c>
      <c r="L5504" t="s">
        <v>12677</v>
      </c>
      <c r="M5504" s="3" t="str">
        <f>HYPERLINK("..\..\Imagery\ScannedPhotos\1992\JA92-122.1cropped.jpg")</f>
        <v>..\..\Imagery\ScannedPhotos\1992\JA92-122.1cropped.jpg</v>
      </c>
      <c r="N5504" t="s">
        <v>4297</v>
      </c>
    </row>
    <row r="5505" spans="1:14" x14ac:dyDescent="0.25">
      <c r="A5505" t="s">
        <v>6596</v>
      </c>
      <c r="B5505">
        <v>473991</v>
      </c>
      <c r="C5505">
        <v>5807494</v>
      </c>
      <c r="D5505">
        <v>21</v>
      </c>
      <c r="E5505" t="s">
        <v>15</v>
      </c>
      <c r="F5505" t="s">
        <v>12678</v>
      </c>
      <c r="G5505">
        <v>2</v>
      </c>
      <c r="H5505" t="s">
        <v>1095</v>
      </c>
      <c r="I5505" t="s">
        <v>52</v>
      </c>
      <c r="J5505" t="s">
        <v>1096</v>
      </c>
      <c r="K5505" t="s">
        <v>56</v>
      </c>
      <c r="L5505" t="s">
        <v>6598</v>
      </c>
      <c r="M5505" s="3" t="str">
        <f>HYPERLINK("..\..\Imagery\ScannedPhotos\1992\VN92-096.1cropped.jpg")</f>
        <v>..\..\Imagery\ScannedPhotos\1992\VN92-096.1cropped.jpg</v>
      </c>
      <c r="N5505" t="s">
        <v>4297</v>
      </c>
    </row>
    <row r="5506" spans="1:14" x14ac:dyDescent="0.25">
      <c r="A5506" t="s">
        <v>12679</v>
      </c>
      <c r="B5506">
        <v>473913</v>
      </c>
      <c r="C5506">
        <v>5803915</v>
      </c>
      <c r="D5506">
        <v>21</v>
      </c>
      <c r="E5506" t="s">
        <v>15</v>
      </c>
      <c r="F5506" t="s">
        <v>12680</v>
      </c>
      <c r="G5506">
        <v>1</v>
      </c>
      <c r="H5506" t="s">
        <v>5587</v>
      </c>
      <c r="I5506" t="s">
        <v>69</v>
      </c>
      <c r="J5506" t="s">
        <v>2341</v>
      </c>
      <c r="K5506" t="s">
        <v>20</v>
      </c>
      <c r="L5506" t="s">
        <v>12681</v>
      </c>
      <c r="M5506" s="3" t="str">
        <f>HYPERLINK("..\..\Imagery\ScannedPhotos\1992\VN92-104cropped.jpg")</f>
        <v>..\..\Imagery\ScannedPhotos\1992\VN92-104cropped.jpg</v>
      </c>
      <c r="N5506" t="s">
        <v>4297</v>
      </c>
    </row>
    <row r="5507" spans="1:14" x14ac:dyDescent="0.25">
      <c r="A5507" t="s">
        <v>6246</v>
      </c>
      <c r="B5507">
        <v>492611</v>
      </c>
      <c r="C5507">
        <v>5798408</v>
      </c>
      <c r="D5507">
        <v>21</v>
      </c>
      <c r="E5507" t="s">
        <v>15</v>
      </c>
      <c r="F5507" t="s">
        <v>12682</v>
      </c>
      <c r="G5507">
        <v>2</v>
      </c>
      <c r="H5507" t="s">
        <v>5587</v>
      </c>
      <c r="I5507" t="s">
        <v>126</v>
      </c>
      <c r="J5507" t="s">
        <v>2341</v>
      </c>
      <c r="K5507" t="s">
        <v>56</v>
      </c>
      <c r="L5507" t="s">
        <v>12683</v>
      </c>
      <c r="M5507" s="3" t="str">
        <f>HYPERLINK("..\..\Imagery\ScannedPhotos\1992\VN92-120.2cropped.jpg")</f>
        <v>..\..\Imagery\ScannedPhotos\1992\VN92-120.2cropped.jpg</v>
      </c>
      <c r="N5507" t="s">
        <v>4297</v>
      </c>
    </row>
    <row r="5508" spans="1:14" x14ac:dyDescent="0.25">
      <c r="A5508" t="s">
        <v>12684</v>
      </c>
      <c r="B5508">
        <v>432581</v>
      </c>
      <c r="C5508">
        <v>5813159</v>
      </c>
      <c r="D5508">
        <v>21</v>
      </c>
      <c r="E5508" t="s">
        <v>15</v>
      </c>
      <c r="F5508" t="s">
        <v>12685</v>
      </c>
      <c r="G5508">
        <v>1</v>
      </c>
      <c r="H5508" t="s">
        <v>5587</v>
      </c>
      <c r="I5508" t="s">
        <v>108</v>
      </c>
      <c r="J5508" t="s">
        <v>2341</v>
      </c>
      <c r="K5508" t="s">
        <v>56</v>
      </c>
      <c r="L5508" t="s">
        <v>1901</v>
      </c>
      <c r="M5508" s="3" t="str">
        <f>HYPERLINK("..\..\Imagery\ScannedPhotos\1992\VN92-121cropped.jpg")</f>
        <v>..\..\Imagery\ScannedPhotos\1992\VN92-121cropped.jpg</v>
      </c>
      <c r="N5508" t="s">
        <v>4297</v>
      </c>
    </row>
    <row r="5509" spans="1:14" x14ac:dyDescent="0.25">
      <c r="A5509" t="s">
        <v>10171</v>
      </c>
      <c r="B5509">
        <v>592948</v>
      </c>
      <c r="C5509">
        <v>5785231</v>
      </c>
      <c r="D5509">
        <v>21</v>
      </c>
      <c r="E5509" t="s">
        <v>15</v>
      </c>
      <c r="F5509" t="s">
        <v>12686</v>
      </c>
      <c r="G5509">
        <v>9</v>
      </c>
      <c r="H5509" t="s">
        <v>17</v>
      </c>
      <c r="I5509" t="s">
        <v>195</v>
      </c>
      <c r="J5509" t="s">
        <v>19</v>
      </c>
      <c r="K5509" t="s">
        <v>20</v>
      </c>
      <c r="L5509" t="s">
        <v>12687</v>
      </c>
      <c r="M5509" s="3" t="str">
        <f>HYPERLINK("..\..\Imagery\ScannedPhotos\1987\CG87-444.6.jpg")</f>
        <v>..\..\Imagery\ScannedPhotos\1987\CG87-444.6.jpg</v>
      </c>
    </row>
    <row r="5510" spans="1:14" x14ac:dyDescent="0.25">
      <c r="A5510" t="s">
        <v>10171</v>
      </c>
      <c r="B5510">
        <v>592948</v>
      </c>
      <c r="C5510">
        <v>5785231</v>
      </c>
      <c r="D5510">
        <v>21</v>
      </c>
      <c r="E5510" t="s">
        <v>15</v>
      </c>
      <c r="F5510" t="s">
        <v>12688</v>
      </c>
      <c r="G5510">
        <v>9</v>
      </c>
      <c r="H5510" t="s">
        <v>17</v>
      </c>
      <c r="I5510" t="s">
        <v>647</v>
      </c>
      <c r="J5510" t="s">
        <v>19</v>
      </c>
      <c r="K5510" t="s">
        <v>20</v>
      </c>
      <c r="L5510" t="s">
        <v>12689</v>
      </c>
      <c r="M5510" s="3" t="str">
        <f>HYPERLINK("..\..\Imagery\ScannedPhotos\1987\CG87-444.9.jpg")</f>
        <v>..\..\Imagery\ScannedPhotos\1987\CG87-444.9.jpg</v>
      </c>
    </row>
    <row r="5511" spans="1:14" x14ac:dyDescent="0.25">
      <c r="A5511" t="s">
        <v>10171</v>
      </c>
      <c r="B5511">
        <v>592948</v>
      </c>
      <c r="C5511">
        <v>5785231</v>
      </c>
      <c r="D5511">
        <v>21</v>
      </c>
      <c r="E5511" t="s">
        <v>15</v>
      </c>
      <c r="F5511" t="s">
        <v>12690</v>
      </c>
      <c r="G5511">
        <v>9</v>
      </c>
      <c r="H5511" t="s">
        <v>17</v>
      </c>
      <c r="I5511" t="s">
        <v>360</v>
      </c>
      <c r="J5511" t="s">
        <v>19</v>
      </c>
      <c r="K5511" t="s">
        <v>20</v>
      </c>
      <c r="L5511" t="s">
        <v>12689</v>
      </c>
      <c r="M5511" s="3" t="str">
        <f>HYPERLINK("..\..\Imagery\ScannedPhotos\1987\CG87-444.8.jpg")</f>
        <v>..\..\Imagery\ScannedPhotos\1987\CG87-444.8.jpg</v>
      </c>
    </row>
    <row r="5512" spans="1:14" x14ac:dyDescent="0.25">
      <c r="A5512" t="s">
        <v>9738</v>
      </c>
      <c r="B5512">
        <v>330070</v>
      </c>
      <c r="C5512">
        <v>5989208</v>
      </c>
      <c r="D5512">
        <v>21</v>
      </c>
      <c r="E5512" t="s">
        <v>15</v>
      </c>
      <c r="F5512" t="s">
        <v>12691</v>
      </c>
      <c r="G5512">
        <v>4</v>
      </c>
      <c r="H5512" t="s">
        <v>268</v>
      </c>
      <c r="I5512" t="s">
        <v>386</v>
      </c>
      <c r="J5512" t="s">
        <v>269</v>
      </c>
      <c r="K5512" t="s">
        <v>20</v>
      </c>
      <c r="L5512" t="s">
        <v>11202</v>
      </c>
      <c r="M5512" s="3" t="str">
        <f>HYPERLINK("..\..\Imagery\ScannedPhotos\1983\CG83-450.3.jpg")</f>
        <v>..\..\Imagery\ScannedPhotos\1983\CG83-450.3.jpg</v>
      </c>
    </row>
    <row r="5513" spans="1:14" x14ac:dyDescent="0.25">
      <c r="A5513" t="s">
        <v>12692</v>
      </c>
      <c r="B5513">
        <v>503927</v>
      </c>
      <c r="C5513">
        <v>5733629</v>
      </c>
      <c r="D5513">
        <v>21</v>
      </c>
      <c r="E5513" t="s">
        <v>15</v>
      </c>
      <c r="F5513" t="s">
        <v>12693</v>
      </c>
      <c r="G5513">
        <v>1</v>
      </c>
      <c r="H5513" t="s">
        <v>6322</v>
      </c>
      <c r="I5513" t="s">
        <v>108</v>
      </c>
      <c r="J5513" t="s">
        <v>996</v>
      </c>
      <c r="K5513" t="s">
        <v>20</v>
      </c>
      <c r="L5513" t="s">
        <v>12694</v>
      </c>
      <c r="M5513" s="3" t="str">
        <f>HYPERLINK("..\..\Imagery\ScannedPhotos\1993\VN93-435.jpg")</f>
        <v>..\..\Imagery\ScannedPhotos\1993\VN93-435.jpg</v>
      </c>
    </row>
    <row r="5514" spans="1:14" x14ac:dyDescent="0.25">
      <c r="A5514" t="s">
        <v>12695</v>
      </c>
      <c r="B5514">
        <v>505285</v>
      </c>
      <c r="C5514">
        <v>5748268</v>
      </c>
      <c r="D5514">
        <v>21</v>
      </c>
      <c r="E5514" t="s">
        <v>15</v>
      </c>
      <c r="F5514" t="s">
        <v>12696</v>
      </c>
      <c r="G5514">
        <v>1</v>
      </c>
      <c r="H5514" t="s">
        <v>6322</v>
      </c>
      <c r="I5514" t="s">
        <v>132</v>
      </c>
      <c r="J5514" t="s">
        <v>996</v>
      </c>
      <c r="K5514" t="s">
        <v>56</v>
      </c>
      <c r="L5514" t="s">
        <v>12694</v>
      </c>
      <c r="M5514" s="3" t="str">
        <f>HYPERLINK("..\..\Imagery\ScannedPhotos\1993\VN93-464.jpg")</f>
        <v>..\..\Imagery\ScannedPhotos\1993\VN93-464.jpg</v>
      </c>
    </row>
    <row r="5515" spans="1:14" x14ac:dyDescent="0.25">
      <c r="A5515" t="s">
        <v>12697</v>
      </c>
      <c r="B5515">
        <v>505305</v>
      </c>
      <c r="C5515">
        <v>5756127</v>
      </c>
      <c r="D5515">
        <v>21</v>
      </c>
      <c r="E5515" t="s">
        <v>15</v>
      </c>
      <c r="F5515" t="s">
        <v>12698</v>
      </c>
      <c r="G5515">
        <v>1</v>
      </c>
      <c r="H5515" t="s">
        <v>6322</v>
      </c>
      <c r="I5515" t="s">
        <v>129</v>
      </c>
      <c r="J5515" t="s">
        <v>996</v>
      </c>
      <c r="K5515" t="s">
        <v>20</v>
      </c>
      <c r="L5515" t="s">
        <v>12699</v>
      </c>
      <c r="M5515" s="3" t="str">
        <f>HYPERLINK("..\..\Imagery\ScannedPhotos\1993\VN93-487.jpg")</f>
        <v>..\..\Imagery\ScannedPhotos\1993\VN93-487.jpg</v>
      </c>
    </row>
    <row r="5516" spans="1:14" x14ac:dyDescent="0.25">
      <c r="A5516" t="s">
        <v>4197</v>
      </c>
      <c r="B5516">
        <v>446257</v>
      </c>
      <c r="C5516">
        <v>5912629</v>
      </c>
      <c r="D5516">
        <v>21</v>
      </c>
      <c r="E5516" t="s">
        <v>15</v>
      </c>
      <c r="F5516" t="s">
        <v>12700</v>
      </c>
      <c r="G5516">
        <v>5</v>
      </c>
      <c r="H5516" t="s">
        <v>2459</v>
      </c>
      <c r="I5516" t="s">
        <v>41</v>
      </c>
      <c r="J5516" t="s">
        <v>2247</v>
      </c>
      <c r="K5516" t="s">
        <v>20</v>
      </c>
      <c r="L5516" t="s">
        <v>4199</v>
      </c>
      <c r="M5516" s="3" t="str">
        <f>HYPERLINK("..\..\Imagery\ScannedPhotos\1984\NN84-158.2.jpg")</f>
        <v>..\..\Imagery\ScannedPhotos\1984\NN84-158.2.jpg</v>
      </c>
    </row>
    <row r="5517" spans="1:14" x14ac:dyDescent="0.25">
      <c r="A5517" t="s">
        <v>4197</v>
      </c>
      <c r="B5517">
        <v>446257</v>
      </c>
      <c r="C5517">
        <v>5912629</v>
      </c>
      <c r="D5517">
        <v>21</v>
      </c>
      <c r="E5517" t="s">
        <v>15</v>
      </c>
      <c r="F5517" t="s">
        <v>12701</v>
      </c>
      <c r="G5517">
        <v>5</v>
      </c>
      <c r="H5517" t="s">
        <v>2459</v>
      </c>
      <c r="I5517" t="s">
        <v>74</v>
      </c>
      <c r="J5517" t="s">
        <v>2247</v>
      </c>
      <c r="K5517" t="s">
        <v>20</v>
      </c>
      <c r="L5517" t="s">
        <v>4199</v>
      </c>
      <c r="M5517" s="3" t="str">
        <f>HYPERLINK("..\..\Imagery\ScannedPhotos\1984\NN84-158.1.jpg")</f>
        <v>..\..\Imagery\ScannedPhotos\1984\NN84-158.1.jpg</v>
      </c>
    </row>
    <row r="5518" spans="1:14" x14ac:dyDescent="0.25">
      <c r="A5518" t="s">
        <v>12702</v>
      </c>
      <c r="B5518">
        <v>446120</v>
      </c>
      <c r="C5518">
        <v>5914208</v>
      </c>
      <c r="D5518">
        <v>21</v>
      </c>
      <c r="E5518" t="s">
        <v>15</v>
      </c>
      <c r="F5518" t="s">
        <v>12703</v>
      </c>
      <c r="G5518">
        <v>1</v>
      </c>
      <c r="H5518" t="s">
        <v>2459</v>
      </c>
      <c r="I5518" t="s">
        <v>386</v>
      </c>
      <c r="J5518" t="s">
        <v>2247</v>
      </c>
      <c r="K5518" t="s">
        <v>56</v>
      </c>
      <c r="L5518" t="s">
        <v>12704</v>
      </c>
      <c r="M5518" s="3" t="str">
        <f>HYPERLINK("..\..\Imagery\ScannedPhotos\1984\NN84-161.jpg")</f>
        <v>..\..\Imagery\ScannedPhotos\1984\NN84-161.jpg</v>
      </c>
    </row>
    <row r="5519" spans="1:14" x14ac:dyDescent="0.25">
      <c r="A5519" t="s">
        <v>12705</v>
      </c>
      <c r="B5519">
        <v>447398</v>
      </c>
      <c r="C5519">
        <v>5912735</v>
      </c>
      <c r="D5519">
        <v>21</v>
      </c>
      <c r="E5519" t="s">
        <v>15</v>
      </c>
      <c r="F5519" t="s">
        <v>12706</v>
      </c>
      <c r="G5519">
        <v>3</v>
      </c>
      <c r="H5519" t="s">
        <v>2459</v>
      </c>
      <c r="I5519" t="s">
        <v>122</v>
      </c>
      <c r="J5519" t="s">
        <v>2247</v>
      </c>
      <c r="K5519" t="s">
        <v>20</v>
      </c>
      <c r="L5519" t="s">
        <v>12707</v>
      </c>
      <c r="M5519" s="3" t="str">
        <f>HYPERLINK("..\..\Imagery\ScannedPhotos\1984\NN84-171.1.jpg")</f>
        <v>..\..\Imagery\ScannedPhotos\1984\NN84-171.1.jpg</v>
      </c>
    </row>
    <row r="5520" spans="1:14" x14ac:dyDescent="0.25">
      <c r="A5520" t="s">
        <v>12705</v>
      </c>
      <c r="B5520">
        <v>447398</v>
      </c>
      <c r="C5520">
        <v>5912735</v>
      </c>
      <c r="D5520">
        <v>21</v>
      </c>
      <c r="E5520" t="s">
        <v>15</v>
      </c>
      <c r="F5520" t="s">
        <v>12708</v>
      </c>
      <c r="G5520">
        <v>3</v>
      </c>
      <c r="H5520" t="s">
        <v>2459</v>
      </c>
      <c r="I5520" t="s">
        <v>126</v>
      </c>
      <c r="J5520" t="s">
        <v>2247</v>
      </c>
      <c r="K5520" t="s">
        <v>20</v>
      </c>
      <c r="L5520" t="s">
        <v>12707</v>
      </c>
      <c r="M5520" s="3" t="str">
        <f>HYPERLINK("..\..\Imagery\ScannedPhotos\1984\NN84-171.2.jpg")</f>
        <v>..\..\Imagery\ScannedPhotos\1984\NN84-171.2.jpg</v>
      </c>
    </row>
    <row r="5521" spans="1:13" x14ac:dyDescent="0.25">
      <c r="A5521" t="s">
        <v>12705</v>
      </c>
      <c r="B5521">
        <v>447398</v>
      </c>
      <c r="C5521">
        <v>5912735</v>
      </c>
      <c r="D5521">
        <v>21</v>
      </c>
      <c r="E5521" t="s">
        <v>15</v>
      </c>
      <c r="F5521" t="s">
        <v>12709</v>
      </c>
      <c r="G5521">
        <v>3</v>
      </c>
      <c r="H5521" t="s">
        <v>2459</v>
      </c>
      <c r="I5521" t="s">
        <v>108</v>
      </c>
      <c r="J5521" t="s">
        <v>2247</v>
      </c>
      <c r="K5521" t="s">
        <v>20</v>
      </c>
      <c r="L5521" t="s">
        <v>4086</v>
      </c>
      <c r="M5521" s="3" t="str">
        <f>HYPERLINK("..\..\Imagery\ScannedPhotos\1984\NN84-171.3.jpg")</f>
        <v>..\..\Imagery\ScannedPhotos\1984\NN84-171.3.jpg</v>
      </c>
    </row>
    <row r="5522" spans="1:13" x14ac:dyDescent="0.25">
      <c r="A5522" t="s">
        <v>10700</v>
      </c>
      <c r="B5522">
        <v>574247</v>
      </c>
      <c r="C5522">
        <v>5755135</v>
      </c>
      <c r="D5522">
        <v>21</v>
      </c>
      <c r="E5522" t="s">
        <v>15</v>
      </c>
      <c r="F5522" t="s">
        <v>12710</v>
      </c>
      <c r="G5522">
        <v>2</v>
      </c>
      <c r="H5522" t="s">
        <v>869</v>
      </c>
      <c r="I5522" t="s">
        <v>114</v>
      </c>
      <c r="J5522" t="s">
        <v>870</v>
      </c>
      <c r="K5522" t="s">
        <v>20</v>
      </c>
      <c r="L5522" t="s">
        <v>12711</v>
      </c>
      <c r="M5522" s="3" t="str">
        <f>HYPERLINK("..\..\Imagery\ScannedPhotos\1993\VN93-656.1.jpg")</f>
        <v>..\..\Imagery\ScannedPhotos\1993\VN93-656.1.jpg</v>
      </c>
    </row>
    <row r="5523" spans="1:13" x14ac:dyDescent="0.25">
      <c r="A5523" t="s">
        <v>12712</v>
      </c>
      <c r="B5523">
        <v>574626</v>
      </c>
      <c r="C5523">
        <v>5755376</v>
      </c>
      <c r="D5523">
        <v>21</v>
      </c>
      <c r="E5523" t="s">
        <v>15</v>
      </c>
      <c r="F5523" t="s">
        <v>12713</v>
      </c>
      <c r="G5523">
        <v>2</v>
      </c>
      <c r="H5523" t="s">
        <v>869</v>
      </c>
      <c r="I5523" t="s">
        <v>126</v>
      </c>
      <c r="J5523" t="s">
        <v>870</v>
      </c>
      <c r="K5523" t="s">
        <v>20</v>
      </c>
      <c r="L5523" t="s">
        <v>12714</v>
      </c>
      <c r="M5523" s="3" t="str">
        <f>HYPERLINK("..\..\Imagery\ScannedPhotos\1993\VN93-657.2.jpg")</f>
        <v>..\..\Imagery\ScannedPhotos\1993\VN93-657.2.jpg</v>
      </c>
    </row>
    <row r="5524" spans="1:13" x14ac:dyDescent="0.25">
      <c r="A5524" t="s">
        <v>12712</v>
      </c>
      <c r="B5524">
        <v>574626</v>
      </c>
      <c r="C5524">
        <v>5755376</v>
      </c>
      <c r="D5524">
        <v>21</v>
      </c>
      <c r="E5524" t="s">
        <v>15</v>
      </c>
      <c r="F5524" t="s">
        <v>12715</v>
      </c>
      <c r="G5524">
        <v>2</v>
      </c>
      <c r="H5524" t="s">
        <v>869</v>
      </c>
      <c r="I5524" t="s">
        <v>122</v>
      </c>
      <c r="J5524" t="s">
        <v>870</v>
      </c>
      <c r="K5524" t="s">
        <v>20</v>
      </c>
      <c r="L5524" t="s">
        <v>12716</v>
      </c>
      <c r="M5524" s="3" t="str">
        <f>HYPERLINK("..\..\Imagery\ScannedPhotos\1993\VN93-657.1.jpg")</f>
        <v>..\..\Imagery\ScannedPhotos\1993\VN93-657.1.jpg</v>
      </c>
    </row>
    <row r="5525" spans="1:13" x14ac:dyDescent="0.25">
      <c r="A5525" t="s">
        <v>7417</v>
      </c>
      <c r="B5525">
        <v>344843</v>
      </c>
      <c r="C5525">
        <v>5852094</v>
      </c>
      <c r="D5525">
        <v>21</v>
      </c>
      <c r="E5525" t="s">
        <v>15</v>
      </c>
      <c r="F5525" t="s">
        <v>12717</v>
      </c>
      <c r="G5525">
        <v>6</v>
      </c>
      <c r="H5525" t="s">
        <v>5833</v>
      </c>
      <c r="I5525" t="s">
        <v>214</v>
      </c>
      <c r="J5525" t="s">
        <v>260</v>
      </c>
      <c r="K5525" t="s">
        <v>56</v>
      </c>
      <c r="L5525" t="s">
        <v>12718</v>
      </c>
      <c r="M5525" s="3" t="str">
        <f>HYPERLINK("..\..\Imagery\ScannedPhotos\1998\CG98-218.3.jpg")</f>
        <v>..\..\Imagery\ScannedPhotos\1998\CG98-218.3.jpg</v>
      </c>
    </row>
    <row r="5526" spans="1:13" x14ac:dyDescent="0.25">
      <c r="A5526" t="s">
        <v>12352</v>
      </c>
      <c r="B5526">
        <v>526660</v>
      </c>
      <c r="C5526">
        <v>5720726</v>
      </c>
      <c r="D5526">
        <v>21</v>
      </c>
      <c r="E5526" t="s">
        <v>15</v>
      </c>
      <c r="F5526" t="s">
        <v>12719</v>
      </c>
      <c r="G5526">
        <v>2</v>
      </c>
      <c r="H5526" t="s">
        <v>2418</v>
      </c>
      <c r="I5526" t="s">
        <v>69</v>
      </c>
      <c r="J5526" t="s">
        <v>570</v>
      </c>
      <c r="K5526" t="s">
        <v>56</v>
      </c>
      <c r="L5526" t="s">
        <v>3032</v>
      </c>
      <c r="M5526" s="3" t="str">
        <f>HYPERLINK("..\..\Imagery\ScannedPhotos\1993\VN93-103.1.jpg")</f>
        <v>..\..\Imagery\ScannedPhotos\1993\VN93-103.1.jpg</v>
      </c>
    </row>
    <row r="5527" spans="1:13" x14ac:dyDescent="0.25">
      <c r="A5527" t="s">
        <v>6305</v>
      </c>
      <c r="B5527">
        <v>572135</v>
      </c>
      <c r="C5527">
        <v>5886752</v>
      </c>
      <c r="D5527">
        <v>21</v>
      </c>
      <c r="E5527" t="s">
        <v>15</v>
      </c>
      <c r="F5527" t="s">
        <v>12720</v>
      </c>
      <c r="G5527">
        <v>2</v>
      </c>
      <c r="H5527" t="s">
        <v>2412</v>
      </c>
      <c r="I5527" t="s">
        <v>114</v>
      </c>
      <c r="J5527" t="s">
        <v>1463</v>
      </c>
      <c r="K5527" t="s">
        <v>20</v>
      </c>
      <c r="L5527" t="s">
        <v>6307</v>
      </c>
      <c r="M5527" s="3" t="str">
        <f>HYPERLINK("..\..\Imagery\ScannedPhotos\1985\GM85-507.1.jpg")</f>
        <v>..\..\Imagery\ScannedPhotos\1985\GM85-507.1.jpg</v>
      </c>
    </row>
    <row r="5528" spans="1:13" x14ac:dyDescent="0.25">
      <c r="A5528" t="s">
        <v>12721</v>
      </c>
      <c r="B5528">
        <v>543177</v>
      </c>
      <c r="C5528">
        <v>5743268</v>
      </c>
      <c r="D5528">
        <v>21</v>
      </c>
      <c r="E5528" t="s">
        <v>15</v>
      </c>
      <c r="F5528" t="s">
        <v>12722</v>
      </c>
      <c r="G5528">
        <v>2</v>
      </c>
      <c r="H5528" t="s">
        <v>1732</v>
      </c>
      <c r="I5528" t="s">
        <v>137</v>
      </c>
      <c r="J5528" t="s">
        <v>1733</v>
      </c>
      <c r="K5528" t="s">
        <v>20</v>
      </c>
      <c r="L5528" t="s">
        <v>11523</v>
      </c>
      <c r="M5528" s="3" t="str">
        <f>HYPERLINK("..\..\Imagery\ScannedPhotos\1993\CG93-478.1.jpg")</f>
        <v>..\..\Imagery\ScannedPhotos\1993\CG93-478.1.jpg</v>
      </c>
    </row>
    <row r="5529" spans="1:13" x14ac:dyDescent="0.25">
      <c r="A5529" t="s">
        <v>12721</v>
      </c>
      <c r="B5529">
        <v>543177</v>
      </c>
      <c r="C5529">
        <v>5743268</v>
      </c>
      <c r="D5529">
        <v>21</v>
      </c>
      <c r="E5529" t="s">
        <v>15</v>
      </c>
      <c r="F5529" t="s">
        <v>12723</v>
      </c>
      <c r="G5529">
        <v>2</v>
      </c>
      <c r="H5529" t="s">
        <v>1732</v>
      </c>
      <c r="I5529" t="s">
        <v>18</v>
      </c>
      <c r="J5529" t="s">
        <v>1733</v>
      </c>
      <c r="K5529" t="s">
        <v>56</v>
      </c>
      <c r="L5529" t="s">
        <v>11523</v>
      </c>
      <c r="M5529" s="3" t="str">
        <f>HYPERLINK("..\..\Imagery\ScannedPhotos\1993\CG93-478.2.jpg")</f>
        <v>..\..\Imagery\ScannedPhotos\1993\CG93-478.2.jpg</v>
      </c>
    </row>
    <row r="5530" spans="1:13" x14ac:dyDescent="0.25">
      <c r="A5530" t="s">
        <v>12724</v>
      </c>
      <c r="B5530">
        <v>414140</v>
      </c>
      <c r="C5530">
        <v>6011091</v>
      </c>
      <c r="D5530">
        <v>21</v>
      </c>
      <c r="E5530" t="s">
        <v>15</v>
      </c>
      <c r="F5530" t="s">
        <v>12725</v>
      </c>
      <c r="G5530">
        <v>1</v>
      </c>
      <c r="H5530" t="s">
        <v>2319</v>
      </c>
      <c r="I5530" t="s">
        <v>195</v>
      </c>
      <c r="J5530" t="s">
        <v>759</v>
      </c>
      <c r="K5530" t="s">
        <v>109</v>
      </c>
      <c r="L5530" t="s">
        <v>10153</v>
      </c>
      <c r="M5530" s="3" t="str">
        <f>HYPERLINK("..\..\Imagery\ScannedPhotos\1980\CG80-012.jpg")</f>
        <v>..\..\Imagery\ScannedPhotos\1980\CG80-012.jpg</v>
      </c>
    </row>
    <row r="5531" spans="1:13" x14ac:dyDescent="0.25">
      <c r="A5531" t="s">
        <v>12726</v>
      </c>
      <c r="B5531">
        <v>412899</v>
      </c>
      <c r="C5531">
        <v>6010755</v>
      </c>
      <c r="D5531">
        <v>21</v>
      </c>
      <c r="E5531" t="s">
        <v>15</v>
      </c>
      <c r="F5531" t="s">
        <v>12727</v>
      </c>
      <c r="G5531">
        <v>1</v>
      </c>
      <c r="H5531" t="s">
        <v>2319</v>
      </c>
      <c r="I5531" t="s">
        <v>114</v>
      </c>
      <c r="J5531" t="s">
        <v>759</v>
      </c>
      <c r="K5531" t="s">
        <v>20</v>
      </c>
      <c r="L5531" t="s">
        <v>12728</v>
      </c>
      <c r="M5531" s="3" t="str">
        <f>HYPERLINK("..\..\Imagery\ScannedPhotos\1980\CG80-014.jpg")</f>
        <v>..\..\Imagery\ScannedPhotos\1980\CG80-014.jpg</v>
      </c>
    </row>
    <row r="5532" spans="1:13" x14ac:dyDescent="0.25">
      <c r="A5532" t="s">
        <v>12729</v>
      </c>
      <c r="B5532">
        <v>564567</v>
      </c>
      <c r="C5532">
        <v>5870257</v>
      </c>
      <c r="D5532">
        <v>21</v>
      </c>
      <c r="E5532" t="s">
        <v>15</v>
      </c>
      <c r="F5532" t="s">
        <v>12730</v>
      </c>
      <c r="G5532">
        <v>1</v>
      </c>
      <c r="H5532" t="s">
        <v>201</v>
      </c>
      <c r="I5532" t="s">
        <v>386</v>
      </c>
      <c r="J5532" t="s">
        <v>202</v>
      </c>
      <c r="K5532" t="s">
        <v>20</v>
      </c>
      <c r="L5532" t="s">
        <v>12731</v>
      </c>
      <c r="M5532" s="3" t="str">
        <f>HYPERLINK("..\..\Imagery\ScannedPhotos\1986\CG86-116.jpg")</f>
        <v>..\..\Imagery\ScannedPhotos\1986\CG86-116.jpg</v>
      </c>
    </row>
    <row r="5533" spans="1:13" x14ac:dyDescent="0.25">
      <c r="A5533" t="s">
        <v>12732</v>
      </c>
      <c r="B5533">
        <v>560871</v>
      </c>
      <c r="C5533">
        <v>5867063</v>
      </c>
      <c r="D5533">
        <v>21</v>
      </c>
      <c r="E5533" t="s">
        <v>15</v>
      </c>
      <c r="F5533" t="s">
        <v>12733</v>
      </c>
      <c r="G5533">
        <v>2</v>
      </c>
      <c r="H5533" t="s">
        <v>201</v>
      </c>
      <c r="I5533" t="s">
        <v>217</v>
      </c>
      <c r="J5533" t="s">
        <v>202</v>
      </c>
      <c r="K5533" t="s">
        <v>56</v>
      </c>
      <c r="L5533" t="s">
        <v>12734</v>
      </c>
      <c r="M5533" s="3" t="str">
        <f>HYPERLINK("..\..\Imagery\ScannedPhotos\1986\CG86-123.1.jpg")</f>
        <v>..\..\Imagery\ScannedPhotos\1986\CG86-123.1.jpg</v>
      </c>
    </row>
    <row r="5534" spans="1:13" x14ac:dyDescent="0.25">
      <c r="A5534" t="s">
        <v>12732</v>
      </c>
      <c r="B5534">
        <v>560871</v>
      </c>
      <c r="C5534">
        <v>5867063</v>
      </c>
      <c r="D5534">
        <v>21</v>
      </c>
      <c r="E5534" t="s">
        <v>15</v>
      </c>
      <c r="F5534" t="s">
        <v>12735</v>
      </c>
      <c r="G5534">
        <v>2</v>
      </c>
      <c r="H5534" t="s">
        <v>201</v>
      </c>
      <c r="I5534" t="s">
        <v>214</v>
      </c>
      <c r="J5534" t="s">
        <v>202</v>
      </c>
      <c r="K5534" t="s">
        <v>56</v>
      </c>
      <c r="L5534" t="s">
        <v>12734</v>
      </c>
      <c r="M5534" s="3" t="str">
        <f>HYPERLINK("..\..\Imagery\ScannedPhotos\1986\CG86-123.2.jpg")</f>
        <v>..\..\Imagery\ScannedPhotos\1986\CG86-123.2.jpg</v>
      </c>
    </row>
    <row r="5535" spans="1:13" x14ac:dyDescent="0.25">
      <c r="A5535" t="s">
        <v>12736</v>
      </c>
      <c r="B5535">
        <v>563007</v>
      </c>
      <c r="C5535">
        <v>5826104</v>
      </c>
      <c r="D5535">
        <v>21</v>
      </c>
      <c r="E5535" t="s">
        <v>15</v>
      </c>
      <c r="F5535" t="s">
        <v>12737</v>
      </c>
      <c r="G5535">
        <v>3</v>
      </c>
      <c r="H5535" t="s">
        <v>201</v>
      </c>
      <c r="I5535" t="s">
        <v>304</v>
      </c>
      <c r="J5535" t="s">
        <v>202</v>
      </c>
      <c r="K5535" t="s">
        <v>56</v>
      </c>
      <c r="L5535" t="s">
        <v>12738</v>
      </c>
      <c r="M5535" s="3" t="str">
        <f>HYPERLINK("..\..\Imagery\ScannedPhotos\1986\CG86-155.3.jpg")</f>
        <v>..\..\Imagery\ScannedPhotos\1986\CG86-155.3.jpg</v>
      </c>
    </row>
    <row r="5536" spans="1:13" x14ac:dyDescent="0.25">
      <c r="A5536" t="s">
        <v>12736</v>
      </c>
      <c r="B5536">
        <v>563007</v>
      </c>
      <c r="C5536">
        <v>5826104</v>
      </c>
      <c r="D5536">
        <v>21</v>
      </c>
      <c r="E5536" t="s">
        <v>15</v>
      </c>
      <c r="F5536" t="s">
        <v>12739</v>
      </c>
      <c r="G5536">
        <v>3</v>
      </c>
      <c r="H5536" t="s">
        <v>201</v>
      </c>
      <c r="I5536" t="s">
        <v>222</v>
      </c>
      <c r="J5536" t="s">
        <v>202</v>
      </c>
      <c r="K5536" t="s">
        <v>56</v>
      </c>
      <c r="L5536" t="s">
        <v>12740</v>
      </c>
      <c r="M5536" s="3" t="str">
        <f>HYPERLINK("..\..\Imagery\ScannedPhotos\1986\CG86-155.1.jpg")</f>
        <v>..\..\Imagery\ScannedPhotos\1986\CG86-155.1.jpg</v>
      </c>
    </row>
    <row r="5537" spans="1:13" x14ac:dyDescent="0.25">
      <c r="A5537" t="s">
        <v>12736</v>
      </c>
      <c r="B5537">
        <v>563007</v>
      </c>
      <c r="C5537">
        <v>5826104</v>
      </c>
      <c r="D5537">
        <v>21</v>
      </c>
      <c r="E5537" t="s">
        <v>15</v>
      </c>
      <c r="F5537" t="s">
        <v>12741</v>
      </c>
      <c r="G5537">
        <v>3</v>
      </c>
      <c r="H5537" t="s">
        <v>201</v>
      </c>
      <c r="I5537" t="s">
        <v>418</v>
      </c>
      <c r="J5537" t="s">
        <v>202</v>
      </c>
      <c r="K5537" t="s">
        <v>20</v>
      </c>
      <c r="L5537" t="s">
        <v>2525</v>
      </c>
      <c r="M5537" s="3" t="str">
        <f>HYPERLINK("..\..\Imagery\ScannedPhotos\1986\CG86-155.2.jpg")</f>
        <v>..\..\Imagery\ScannedPhotos\1986\CG86-155.2.jpg</v>
      </c>
    </row>
    <row r="5538" spans="1:13" x14ac:dyDescent="0.25">
      <c r="A5538" t="s">
        <v>12742</v>
      </c>
      <c r="B5538">
        <v>558146</v>
      </c>
      <c r="C5538">
        <v>5742047</v>
      </c>
      <c r="D5538">
        <v>21</v>
      </c>
      <c r="E5538" t="s">
        <v>15</v>
      </c>
      <c r="F5538" t="s">
        <v>12743</v>
      </c>
      <c r="G5538">
        <v>2</v>
      </c>
      <c r="H5538" t="s">
        <v>7220</v>
      </c>
      <c r="I5538" t="s">
        <v>147</v>
      </c>
      <c r="J5538" t="s">
        <v>1738</v>
      </c>
      <c r="K5538" t="s">
        <v>20</v>
      </c>
      <c r="L5538" t="s">
        <v>12744</v>
      </c>
      <c r="M5538" s="3" t="str">
        <f>HYPERLINK("..\..\Imagery\ScannedPhotos\1993\CG93-413.2.jpg")</f>
        <v>..\..\Imagery\ScannedPhotos\1993\CG93-413.2.jpg</v>
      </c>
    </row>
    <row r="5539" spans="1:13" x14ac:dyDescent="0.25">
      <c r="A5539" t="s">
        <v>12742</v>
      </c>
      <c r="B5539">
        <v>558146</v>
      </c>
      <c r="C5539">
        <v>5742047</v>
      </c>
      <c r="D5539">
        <v>21</v>
      </c>
      <c r="E5539" t="s">
        <v>15</v>
      </c>
      <c r="F5539" t="s">
        <v>12745</v>
      </c>
      <c r="G5539">
        <v>2</v>
      </c>
      <c r="H5539" t="s">
        <v>7220</v>
      </c>
      <c r="I5539" t="s">
        <v>143</v>
      </c>
      <c r="J5539" t="s">
        <v>1738</v>
      </c>
      <c r="K5539" t="s">
        <v>20</v>
      </c>
      <c r="L5539" t="s">
        <v>12744</v>
      </c>
      <c r="M5539" s="3" t="str">
        <f>HYPERLINK("..\..\Imagery\ScannedPhotos\1993\CG93-413.1.jpg")</f>
        <v>..\..\Imagery\ScannedPhotos\1993\CG93-413.1.jpg</v>
      </c>
    </row>
    <row r="5540" spans="1:13" x14ac:dyDescent="0.25">
      <c r="A5540" t="s">
        <v>11431</v>
      </c>
      <c r="B5540">
        <v>539536</v>
      </c>
      <c r="C5540">
        <v>5730926</v>
      </c>
      <c r="D5540">
        <v>21</v>
      </c>
      <c r="E5540" t="s">
        <v>15</v>
      </c>
      <c r="F5540" t="s">
        <v>12746</v>
      </c>
      <c r="G5540">
        <v>14</v>
      </c>
      <c r="H5540" t="s">
        <v>1732</v>
      </c>
      <c r="I5540" t="s">
        <v>217</v>
      </c>
      <c r="J5540" t="s">
        <v>1733</v>
      </c>
      <c r="K5540" t="s">
        <v>228</v>
      </c>
      <c r="L5540" t="s">
        <v>12747</v>
      </c>
      <c r="M5540" s="3" t="str">
        <f>HYPERLINK("..\..\Imagery\ScannedPhotos\1993\VN93-033.8.jpg")</f>
        <v>..\..\Imagery\ScannedPhotos\1993\VN93-033.8.jpg</v>
      </c>
    </row>
    <row r="5541" spans="1:13" x14ac:dyDescent="0.25">
      <c r="A5541" t="s">
        <v>11431</v>
      </c>
      <c r="B5541">
        <v>539536</v>
      </c>
      <c r="C5541">
        <v>5730926</v>
      </c>
      <c r="D5541">
        <v>21</v>
      </c>
      <c r="E5541" t="s">
        <v>15</v>
      </c>
      <c r="F5541" t="s">
        <v>12748</v>
      </c>
      <c r="G5541">
        <v>14</v>
      </c>
      <c r="H5541" t="s">
        <v>1732</v>
      </c>
      <c r="I5541" t="s">
        <v>386</v>
      </c>
      <c r="J5541" t="s">
        <v>1733</v>
      </c>
      <c r="K5541" t="s">
        <v>228</v>
      </c>
      <c r="L5541" t="s">
        <v>12749</v>
      </c>
      <c r="M5541" s="3" t="str">
        <f>HYPERLINK("..\..\Imagery\ScannedPhotos\1993\VN93-033.7.jpg")</f>
        <v>..\..\Imagery\ScannedPhotos\1993\VN93-033.7.jpg</v>
      </c>
    </row>
    <row r="5542" spans="1:13" x14ac:dyDescent="0.25">
      <c r="A5542" t="s">
        <v>4016</v>
      </c>
      <c r="B5542">
        <v>491182</v>
      </c>
      <c r="C5542">
        <v>5831928</v>
      </c>
      <c r="D5542">
        <v>21</v>
      </c>
      <c r="E5542" t="s">
        <v>15</v>
      </c>
      <c r="F5542" t="s">
        <v>12750</v>
      </c>
      <c r="G5542">
        <v>8</v>
      </c>
      <c r="H5542" t="s">
        <v>890</v>
      </c>
      <c r="I5542" t="s">
        <v>69</v>
      </c>
      <c r="J5542" t="s">
        <v>891</v>
      </c>
      <c r="K5542" t="s">
        <v>56</v>
      </c>
      <c r="L5542" t="s">
        <v>12751</v>
      </c>
      <c r="M5542" s="3" t="str">
        <f>HYPERLINK("..\..\Imagery\ScannedPhotos\1991\VN91-221.7.jpg")</f>
        <v>..\..\Imagery\ScannedPhotos\1991\VN91-221.7.jpg</v>
      </c>
    </row>
    <row r="5543" spans="1:13" x14ac:dyDescent="0.25">
      <c r="A5543" t="s">
        <v>4016</v>
      </c>
      <c r="B5543">
        <v>491182</v>
      </c>
      <c r="C5543">
        <v>5831928</v>
      </c>
      <c r="D5543">
        <v>21</v>
      </c>
      <c r="E5543" t="s">
        <v>15</v>
      </c>
      <c r="F5543" t="s">
        <v>12752</v>
      </c>
      <c r="G5543">
        <v>8</v>
      </c>
      <c r="H5543" t="s">
        <v>890</v>
      </c>
      <c r="I5543" t="s">
        <v>18</v>
      </c>
      <c r="J5543" t="s">
        <v>891</v>
      </c>
      <c r="K5543" t="s">
        <v>20</v>
      </c>
      <c r="L5543" t="s">
        <v>4018</v>
      </c>
      <c r="M5543" s="3" t="str">
        <f>HYPERLINK("..\..\Imagery\ScannedPhotos\1991\VN91-221.5.jpg")</f>
        <v>..\..\Imagery\ScannedPhotos\1991\VN91-221.5.jpg</v>
      </c>
    </row>
    <row r="5544" spans="1:13" x14ac:dyDescent="0.25">
      <c r="A5544" t="s">
        <v>4016</v>
      </c>
      <c r="B5544">
        <v>491182</v>
      </c>
      <c r="C5544">
        <v>5831928</v>
      </c>
      <c r="D5544">
        <v>21</v>
      </c>
      <c r="E5544" t="s">
        <v>15</v>
      </c>
      <c r="F5544" t="s">
        <v>12753</v>
      </c>
      <c r="G5544">
        <v>8</v>
      </c>
      <c r="H5544" t="s">
        <v>890</v>
      </c>
      <c r="I5544" t="s">
        <v>35</v>
      </c>
      <c r="J5544" t="s">
        <v>891</v>
      </c>
      <c r="K5544" t="s">
        <v>20</v>
      </c>
      <c r="L5544" t="s">
        <v>12754</v>
      </c>
      <c r="M5544" s="3" t="str">
        <f>HYPERLINK("..\..\Imagery\ScannedPhotos\1991\VN91-221.6.jpg")</f>
        <v>..\..\Imagery\ScannedPhotos\1991\VN91-221.6.jpg</v>
      </c>
    </row>
    <row r="5545" spans="1:13" x14ac:dyDescent="0.25">
      <c r="A5545" t="s">
        <v>3548</v>
      </c>
      <c r="B5545">
        <v>472050</v>
      </c>
      <c r="C5545">
        <v>5859375</v>
      </c>
      <c r="D5545">
        <v>21</v>
      </c>
      <c r="E5545" t="s">
        <v>15</v>
      </c>
      <c r="F5545" t="s">
        <v>12755</v>
      </c>
      <c r="G5545">
        <v>19</v>
      </c>
      <c r="H5545" t="s">
        <v>1037</v>
      </c>
      <c r="I5545" t="s">
        <v>132</v>
      </c>
      <c r="J5545" t="s">
        <v>1038</v>
      </c>
      <c r="K5545" t="s">
        <v>20</v>
      </c>
      <c r="L5545" t="s">
        <v>8609</v>
      </c>
      <c r="M5545" s="3" t="str">
        <f>HYPERLINK("..\..\Imagery\ScannedPhotos\1991\VN91-264.17.jpg")</f>
        <v>..\..\Imagery\ScannedPhotos\1991\VN91-264.17.jpg</v>
      </c>
    </row>
    <row r="5546" spans="1:13" x14ac:dyDescent="0.25">
      <c r="A5546" t="s">
        <v>3548</v>
      </c>
      <c r="B5546">
        <v>472050</v>
      </c>
      <c r="C5546">
        <v>5859375</v>
      </c>
      <c r="D5546">
        <v>21</v>
      </c>
      <c r="E5546" t="s">
        <v>15</v>
      </c>
      <c r="F5546" t="s">
        <v>12756</v>
      </c>
      <c r="G5546">
        <v>19</v>
      </c>
      <c r="H5546" t="s">
        <v>6287</v>
      </c>
      <c r="I5546" t="s">
        <v>74</v>
      </c>
      <c r="J5546" t="s">
        <v>6288</v>
      </c>
      <c r="K5546" t="s">
        <v>20</v>
      </c>
      <c r="L5546" t="s">
        <v>8609</v>
      </c>
      <c r="M5546" s="3" t="str">
        <f>HYPERLINK("..\..\Imagery\ScannedPhotos\1991\VN91-264.1.jpg")</f>
        <v>..\..\Imagery\ScannedPhotos\1991\VN91-264.1.jpg</v>
      </c>
    </row>
    <row r="5547" spans="1:13" x14ac:dyDescent="0.25">
      <c r="A5547" t="s">
        <v>3548</v>
      </c>
      <c r="B5547">
        <v>472050</v>
      </c>
      <c r="C5547">
        <v>5859375</v>
      </c>
      <c r="D5547">
        <v>21</v>
      </c>
      <c r="E5547" t="s">
        <v>15</v>
      </c>
      <c r="F5547" t="s">
        <v>12757</v>
      </c>
      <c r="G5547">
        <v>19</v>
      </c>
      <c r="H5547" t="s">
        <v>6287</v>
      </c>
      <c r="I5547" t="s">
        <v>41</v>
      </c>
      <c r="J5547" t="s">
        <v>6288</v>
      </c>
      <c r="K5547" t="s">
        <v>56</v>
      </c>
      <c r="L5547" t="s">
        <v>12758</v>
      </c>
      <c r="M5547" s="3" t="str">
        <f>HYPERLINK("..\..\Imagery\ScannedPhotos\1991\VN91-264.2.jpg")</f>
        <v>..\..\Imagery\ScannedPhotos\1991\VN91-264.2.jpg</v>
      </c>
    </row>
    <row r="5548" spans="1:13" x14ac:dyDescent="0.25">
      <c r="A5548" t="s">
        <v>3548</v>
      </c>
      <c r="B5548">
        <v>472050</v>
      </c>
      <c r="C5548">
        <v>5859375</v>
      </c>
      <c r="D5548">
        <v>21</v>
      </c>
      <c r="E5548" t="s">
        <v>15</v>
      </c>
      <c r="F5548" t="s">
        <v>12759</v>
      </c>
      <c r="G5548">
        <v>19</v>
      </c>
      <c r="H5548" t="s">
        <v>2719</v>
      </c>
      <c r="I5548" t="s">
        <v>217</v>
      </c>
      <c r="J5548" t="s">
        <v>891</v>
      </c>
      <c r="K5548" t="s">
        <v>56</v>
      </c>
      <c r="L5548" t="s">
        <v>7321</v>
      </c>
      <c r="M5548" s="3" t="str">
        <f>HYPERLINK("..\..\Imagery\ScannedPhotos\1991\VN91-264.8.jpg")</f>
        <v>..\..\Imagery\ScannedPhotos\1991\VN91-264.8.jpg</v>
      </c>
    </row>
    <row r="5549" spans="1:13" x14ac:dyDescent="0.25">
      <c r="A5549" t="s">
        <v>3548</v>
      </c>
      <c r="B5549">
        <v>472050</v>
      </c>
      <c r="C5549">
        <v>5859375</v>
      </c>
      <c r="D5549">
        <v>21</v>
      </c>
      <c r="E5549" t="s">
        <v>15</v>
      </c>
      <c r="F5549" t="s">
        <v>12760</v>
      </c>
      <c r="G5549">
        <v>19</v>
      </c>
      <c r="H5549" t="s">
        <v>2719</v>
      </c>
      <c r="I5549" t="s">
        <v>304</v>
      </c>
      <c r="J5549" t="s">
        <v>891</v>
      </c>
      <c r="K5549" t="s">
        <v>56</v>
      </c>
      <c r="L5549" t="s">
        <v>3550</v>
      </c>
      <c r="M5549" s="3" t="str">
        <f>HYPERLINK("..\..\Imagery\ScannedPhotos\1991\VN91-264.12.jpg")</f>
        <v>..\..\Imagery\ScannedPhotos\1991\VN91-264.12.jpg</v>
      </c>
    </row>
    <row r="5550" spans="1:13" x14ac:dyDescent="0.25">
      <c r="A5550" t="s">
        <v>7667</v>
      </c>
      <c r="B5550">
        <v>564640</v>
      </c>
      <c r="C5550">
        <v>5870736</v>
      </c>
      <c r="D5550">
        <v>21</v>
      </c>
      <c r="E5550" t="s">
        <v>15</v>
      </c>
      <c r="F5550" t="s">
        <v>12761</v>
      </c>
      <c r="G5550">
        <v>3</v>
      </c>
      <c r="H5550" t="s">
        <v>201</v>
      </c>
      <c r="I5550" t="s">
        <v>375</v>
      </c>
      <c r="J5550" t="s">
        <v>202</v>
      </c>
      <c r="K5550" t="s">
        <v>20</v>
      </c>
      <c r="L5550" t="s">
        <v>12762</v>
      </c>
      <c r="M5550" s="3" t="str">
        <f>HYPERLINK("..\..\Imagery\ScannedPhotos\1986\CG86-115.1.jpg")</f>
        <v>..\..\Imagery\ScannedPhotos\1986\CG86-115.1.jpg</v>
      </c>
    </row>
    <row r="5551" spans="1:13" x14ac:dyDescent="0.25">
      <c r="A5551" t="s">
        <v>12763</v>
      </c>
      <c r="B5551">
        <v>442096</v>
      </c>
      <c r="C5551">
        <v>5801972</v>
      </c>
      <c r="D5551">
        <v>21</v>
      </c>
      <c r="E5551" t="s">
        <v>15</v>
      </c>
      <c r="F5551" t="s">
        <v>12764</v>
      </c>
      <c r="G5551">
        <v>1</v>
      </c>
      <c r="H5551" t="s">
        <v>2344</v>
      </c>
      <c r="I5551" t="s">
        <v>132</v>
      </c>
      <c r="J5551" t="s">
        <v>2341</v>
      </c>
      <c r="K5551" t="s">
        <v>56</v>
      </c>
      <c r="L5551" t="s">
        <v>12675</v>
      </c>
      <c r="M5551" s="3" t="str">
        <f>HYPERLINK("..\..\Imagery\ScannedPhotos\1992\JA92-066.jpg")</f>
        <v>..\..\Imagery\ScannedPhotos\1992\JA92-066.jpg</v>
      </c>
    </row>
    <row r="5552" spans="1:13" x14ac:dyDescent="0.25">
      <c r="A5552" t="s">
        <v>12765</v>
      </c>
      <c r="B5552">
        <v>443171</v>
      </c>
      <c r="C5552">
        <v>5802069</v>
      </c>
      <c r="D5552">
        <v>21</v>
      </c>
      <c r="E5552" t="s">
        <v>15</v>
      </c>
      <c r="F5552" t="s">
        <v>12766</v>
      </c>
      <c r="G5552">
        <v>2</v>
      </c>
      <c r="H5552" t="s">
        <v>2344</v>
      </c>
      <c r="I5552" t="s">
        <v>129</v>
      </c>
      <c r="J5552" t="s">
        <v>2341</v>
      </c>
      <c r="K5552" t="s">
        <v>535</v>
      </c>
      <c r="L5552" t="s">
        <v>10358</v>
      </c>
      <c r="M5552" s="3" t="str">
        <f>HYPERLINK("..\..\Imagery\ScannedPhotos\1992\JA92-068.1.jpg")</f>
        <v>..\..\Imagery\ScannedPhotos\1992\JA92-068.1.jpg</v>
      </c>
    </row>
    <row r="5553" spans="1:14" x14ac:dyDescent="0.25">
      <c r="A5553" t="s">
        <v>12765</v>
      </c>
      <c r="B5553">
        <v>443171</v>
      </c>
      <c r="C5553">
        <v>5802069</v>
      </c>
      <c r="D5553">
        <v>21</v>
      </c>
      <c r="E5553" t="s">
        <v>15</v>
      </c>
      <c r="F5553" t="s">
        <v>12767</v>
      </c>
      <c r="G5553">
        <v>2</v>
      </c>
      <c r="H5553" t="s">
        <v>2344</v>
      </c>
      <c r="I5553" t="s">
        <v>143</v>
      </c>
      <c r="J5553" t="s">
        <v>2341</v>
      </c>
      <c r="K5553" t="s">
        <v>20</v>
      </c>
      <c r="L5553" t="s">
        <v>12768</v>
      </c>
      <c r="M5553" s="3" t="str">
        <f>HYPERLINK("..\..\Imagery\ScannedPhotos\1992\JA92-068.2.jpg")</f>
        <v>..\..\Imagery\ScannedPhotos\1992\JA92-068.2.jpg</v>
      </c>
    </row>
    <row r="5554" spans="1:14" x14ac:dyDescent="0.25">
      <c r="A5554" t="s">
        <v>12769</v>
      </c>
      <c r="B5554">
        <v>442176</v>
      </c>
      <c r="C5554">
        <v>5796310</v>
      </c>
      <c r="D5554">
        <v>21</v>
      </c>
      <c r="E5554" t="s">
        <v>15</v>
      </c>
      <c r="F5554" t="s">
        <v>12770</v>
      </c>
      <c r="G5554">
        <v>1</v>
      </c>
      <c r="H5554" t="s">
        <v>2344</v>
      </c>
      <c r="I5554" t="s">
        <v>147</v>
      </c>
      <c r="J5554" t="s">
        <v>2341</v>
      </c>
      <c r="K5554" t="s">
        <v>20</v>
      </c>
      <c r="L5554" t="s">
        <v>12771</v>
      </c>
      <c r="M5554" s="3" t="str">
        <f>HYPERLINK("..\..\Imagery\ScannedPhotos\1992\JA92-071.jpg")</f>
        <v>..\..\Imagery\ScannedPhotos\1992\JA92-071.jpg</v>
      </c>
    </row>
    <row r="5555" spans="1:14" x14ac:dyDescent="0.25">
      <c r="A5555" t="s">
        <v>12772</v>
      </c>
      <c r="B5555">
        <v>437838</v>
      </c>
      <c r="C5555">
        <v>5777716</v>
      </c>
      <c r="D5555">
        <v>21</v>
      </c>
      <c r="E5555" t="s">
        <v>15</v>
      </c>
      <c r="F5555" t="s">
        <v>12773</v>
      </c>
      <c r="G5555">
        <v>3</v>
      </c>
      <c r="H5555" t="s">
        <v>2439</v>
      </c>
      <c r="I5555" t="s">
        <v>126</v>
      </c>
      <c r="J5555" t="s">
        <v>2440</v>
      </c>
      <c r="K5555" t="s">
        <v>228</v>
      </c>
      <c r="L5555" t="s">
        <v>11819</v>
      </c>
      <c r="M5555" s="3" t="str">
        <f>HYPERLINK("..\..\Imagery\ScannedPhotos\1992\JA92-115.1.jpg")</f>
        <v>..\..\Imagery\ScannedPhotos\1992\JA92-115.1.jpg</v>
      </c>
    </row>
    <row r="5556" spans="1:14" x14ac:dyDescent="0.25">
      <c r="A5556" t="s">
        <v>12772</v>
      </c>
      <c r="B5556">
        <v>437838</v>
      </c>
      <c r="C5556">
        <v>5777716</v>
      </c>
      <c r="D5556">
        <v>21</v>
      </c>
      <c r="E5556" t="s">
        <v>15</v>
      </c>
      <c r="F5556" t="s">
        <v>12774</v>
      </c>
      <c r="G5556">
        <v>3</v>
      </c>
      <c r="H5556" t="s">
        <v>2439</v>
      </c>
      <c r="I5556" t="s">
        <v>108</v>
      </c>
      <c r="J5556" t="s">
        <v>2440</v>
      </c>
      <c r="K5556" t="s">
        <v>56</v>
      </c>
      <c r="L5556" t="s">
        <v>12775</v>
      </c>
      <c r="M5556" s="3" t="str">
        <f>HYPERLINK("..\..\Imagery\ScannedPhotos\1992\JA92-115.2.jpg")</f>
        <v>..\..\Imagery\ScannedPhotos\1992\JA92-115.2.jpg</v>
      </c>
    </row>
    <row r="5557" spans="1:14" x14ac:dyDescent="0.25">
      <c r="A5557" t="s">
        <v>12772</v>
      </c>
      <c r="B5557">
        <v>437838</v>
      </c>
      <c r="C5557">
        <v>5777716</v>
      </c>
      <c r="D5557">
        <v>21</v>
      </c>
      <c r="E5557" t="s">
        <v>15</v>
      </c>
      <c r="F5557" t="s">
        <v>12776</v>
      </c>
      <c r="G5557">
        <v>3</v>
      </c>
      <c r="H5557" t="s">
        <v>2439</v>
      </c>
      <c r="I5557" t="s">
        <v>132</v>
      </c>
      <c r="J5557" t="s">
        <v>2440</v>
      </c>
      <c r="K5557" t="s">
        <v>228</v>
      </c>
      <c r="L5557" t="s">
        <v>12777</v>
      </c>
      <c r="M5557" s="3" t="str">
        <f>HYPERLINK("..\..\Imagery\ScannedPhotos\1992\JA92-115.3E.jpg")</f>
        <v>..\..\Imagery\ScannedPhotos\1992\JA92-115.3E.jpg</v>
      </c>
      <c r="N5557" t="s">
        <v>1808</v>
      </c>
    </row>
    <row r="5558" spans="1:14" x14ac:dyDescent="0.25">
      <c r="A5558" t="s">
        <v>10168</v>
      </c>
      <c r="B5558">
        <v>588274</v>
      </c>
      <c r="C5558">
        <v>5771479</v>
      </c>
      <c r="D5558">
        <v>21</v>
      </c>
      <c r="E5558" t="s">
        <v>15</v>
      </c>
      <c r="F5558" t="s">
        <v>12778</v>
      </c>
      <c r="G5558">
        <v>5</v>
      </c>
      <c r="H5558" t="s">
        <v>1066</v>
      </c>
      <c r="I5558" t="s">
        <v>30</v>
      </c>
      <c r="J5558" t="s">
        <v>36</v>
      </c>
      <c r="K5558" t="s">
        <v>20</v>
      </c>
      <c r="L5558" t="s">
        <v>10170</v>
      </c>
      <c r="M5558" s="3" t="str">
        <f>HYPERLINK("..\..\Imagery\ScannedPhotos\1987\CG87-441.2.jpg")</f>
        <v>..\..\Imagery\ScannedPhotos\1987\CG87-441.2.jpg</v>
      </c>
    </row>
    <row r="5559" spans="1:14" x14ac:dyDescent="0.25">
      <c r="A5559" t="s">
        <v>10168</v>
      </c>
      <c r="B5559">
        <v>588274</v>
      </c>
      <c r="C5559">
        <v>5771479</v>
      </c>
      <c r="D5559">
        <v>21</v>
      </c>
      <c r="E5559" t="s">
        <v>15</v>
      </c>
      <c r="F5559" t="s">
        <v>12779</v>
      </c>
      <c r="G5559">
        <v>5</v>
      </c>
      <c r="H5559" t="s">
        <v>1066</v>
      </c>
      <c r="I5559" t="s">
        <v>114</v>
      </c>
      <c r="J5559" t="s">
        <v>36</v>
      </c>
      <c r="K5559" t="s">
        <v>20</v>
      </c>
      <c r="L5559" t="s">
        <v>10170</v>
      </c>
      <c r="M5559" s="3" t="str">
        <f>HYPERLINK("..\..\Imagery\ScannedPhotos\1987\CG87-441.3.jpg")</f>
        <v>..\..\Imagery\ScannedPhotos\1987\CG87-441.3.jpg</v>
      </c>
    </row>
    <row r="5560" spans="1:14" x14ac:dyDescent="0.25">
      <c r="A5560" t="s">
        <v>10168</v>
      </c>
      <c r="B5560">
        <v>588274</v>
      </c>
      <c r="C5560">
        <v>5771479</v>
      </c>
      <c r="D5560">
        <v>21</v>
      </c>
      <c r="E5560" t="s">
        <v>15</v>
      </c>
      <c r="F5560" t="s">
        <v>12780</v>
      </c>
      <c r="G5560">
        <v>5</v>
      </c>
      <c r="H5560" t="s">
        <v>1066</v>
      </c>
      <c r="I5560" t="s">
        <v>119</v>
      </c>
      <c r="J5560" t="s">
        <v>36</v>
      </c>
      <c r="K5560" t="s">
        <v>20</v>
      </c>
      <c r="L5560" t="s">
        <v>10170</v>
      </c>
      <c r="M5560" s="3" t="str">
        <f>HYPERLINK("..\..\Imagery\ScannedPhotos\1987\CG87-441.4.jpg")</f>
        <v>..\..\Imagery\ScannedPhotos\1987\CG87-441.4.jpg</v>
      </c>
    </row>
    <row r="5561" spans="1:14" x14ac:dyDescent="0.25">
      <c r="A5561" t="s">
        <v>12781</v>
      </c>
      <c r="B5561">
        <v>431596</v>
      </c>
      <c r="C5561">
        <v>6082834</v>
      </c>
      <c r="D5561">
        <v>21</v>
      </c>
      <c r="E5561" t="s">
        <v>15</v>
      </c>
      <c r="F5561" t="s">
        <v>12782</v>
      </c>
      <c r="G5561">
        <v>1</v>
      </c>
      <c r="H5561" t="s">
        <v>1833</v>
      </c>
      <c r="I5561" t="s">
        <v>281</v>
      </c>
      <c r="J5561" t="s">
        <v>610</v>
      </c>
      <c r="K5561" t="s">
        <v>20</v>
      </c>
      <c r="L5561" t="s">
        <v>12783</v>
      </c>
      <c r="M5561" s="3" t="str">
        <f>HYPERLINK("..\..\Imagery\ScannedPhotos\1979\CG79-139cropped.jpg")</f>
        <v>..\..\Imagery\ScannedPhotos\1979\CG79-139cropped.jpg</v>
      </c>
      <c r="N5561" t="s">
        <v>4297</v>
      </c>
    </row>
    <row r="5562" spans="1:14" x14ac:dyDescent="0.25">
      <c r="A5562" t="s">
        <v>12784</v>
      </c>
      <c r="B5562">
        <v>430750</v>
      </c>
      <c r="C5562">
        <v>6085049</v>
      </c>
      <c r="D5562">
        <v>21</v>
      </c>
      <c r="E5562" t="s">
        <v>15</v>
      </c>
      <c r="F5562" t="s">
        <v>12785</v>
      </c>
      <c r="G5562">
        <v>1</v>
      </c>
      <c r="H5562" t="s">
        <v>1833</v>
      </c>
      <c r="I5562" t="s">
        <v>217</v>
      </c>
      <c r="J5562" t="s">
        <v>610</v>
      </c>
      <c r="K5562" t="s">
        <v>228</v>
      </c>
      <c r="L5562" t="s">
        <v>12786</v>
      </c>
      <c r="M5562" s="3" t="str">
        <f>HYPERLINK("..\..\Imagery\ScannedPhotos\1979\CG79-157E.jpg")</f>
        <v>..\..\Imagery\ScannedPhotos\1979\CG79-157E.jpg</v>
      </c>
      <c r="N5562" t="s">
        <v>1808</v>
      </c>
    </row>
    <row r="5563" spans="1:14" x14ac:dyDescent="0.25">
      <c r="A5563" t="s">
        <v>4134</v>
      </c>
      <c r="B5563">
        <v>449314</v>
      </c>
      <c r="C5563">
        <v>6060594</v>
      </c>
      <c r="D5563">
        <v>21</v>
      </c>
      <c r="E5563" t="s">
        <v>15</v>
      </c>
      <c r="F5563" t="s">
        <v>12787</v>
      </c>
      <c r="G5563">
        <v>3</v>
      </c>
      <c r="H5563" t="s">
        <v>4136</v>
      </c>
      <c r="I5563" t="s">
        <v>195</v>
      </c>
      <c r="J5563" t="s">
        <v>423</v>
      </c>
      <c r="K5563" t="s">
        <v>535</v>
      </c>
      <c r="L5563" t="s">
        <v>8062</v>
      </c>
      <c r="M5563" s="3" t="str">
        <f>HYPERLINK("..\..\Imagery\ScannedPhotos\1979\CG79-174.1E.jpg")</f>
        <v>..\..\Imagery\ScannedPhotos\1979\CG79-174.1E.jpg</v>
      </c>
      <c r="N5563" t="s">
        <v>1808</v>
      </c>
    </row>
    <row r="5564" spans="1:14" x14ac:dyDescent="0.25">
      <c r="A5564" t="s">
        <v>12788</v>
      </c>
      <c r="B5564">
        <v>448497</v>
      </c>
      <c r="C5564">
        <v>6062997</v>
      </c>
      <c r="D5564">
        <v>21</v>
      </c>
      <c r="E5564" t="s">
        <v>15</v>
      </c>
      <c r="F5564" t="s">
        <v>12789</v>
      </c>
      <c r="G5564">
        <v>1</v>
      </c>
      <c r="H5564" t="s">
        <v>1833</v>
      </c>
      <c r="I5564" t="s">
        <v>647</v>
      </c>
      <c r="J5564" t="s">
        <v>610</v>
      </c>
      <c r="K5564" t="s">
        <v>20</v>
      </c>
      <c r="L5564" t="s">
        <v>8071</v>
      </c>
      <c r="M5564" s="3" t="str">
        <f>HYPERLINK("..\..\Imagery\ScannedPhotos\1979\CG79-177cropped.jpg")</f>
        <v>..\..\Imagery\ScannedPhotos\1979\CG79-177cropped.jpg</v>
      </c>
      <c r="N5564" t="s">
        <v>4297</v>
      </c>
    </row>
    <row r="5565" spans="1:14" x14ac:dyDescent="0.25">
      <c r="A5565" t="s">
        <v>8072</v>
      </c>
      <c r="B5565">
        <v>443456</v>
      </c>
      <c r="C5565">
        <v>6071477</v>
      </c>
      <c r="D5565">
        <v>21</v>
      </c>
      <c r="E5565" t="s">
        <v>15</v>
      </c>
      <c r="F5565" t="s">
        <v>12790</v>
      </c>
      <c r="G5565">
        <v>1</v>
      </c>
      <c r="H5565" t="s">
        <v>1833</v>
      </c>
      <c r="I5565" t="s">
        <v>122</v>
      </c>
      <c r="J5565" t="s">
        <v>610</v>
      </c>
      <c r="K5565" t="s">
        <v>20</v>
      </c>
      <c r="L5565" t="s">
        <v>8074</v>
      </c>
      <c r="M5565" s="3" t="s">
        <v>14203</v>
      </c>
      <c r="N5565" t="s">
        <v>4297</v>
      </c>
    </row>
    <row r="5566" spans="1:14" x14ac:dyDescent="0.25">
      <c r="A5566" t="s">
        <v>12791</v>
      </c>
      <c r="B5566">
        <v>446729</v>
      </c>
      <c r="C5566">
        <v>6076398</v>
      </c>
      <c r="D5566">
        <v>21</v>
      </c>
      <c r="E5566" t="s">
        <v>15</v>
      </c>
      <c r="F5566" t="s">
        <v>12792</v>
      </c>
      <c r="G5566">
        <v>1</v>
      </c>
      <c r="H5566" t="s">
        <v>696</v>
      </c>
      <c r="I5566" t="s">
        <v>79</v>
      </c>
      <c r="J5566" t="s">
        <v>355</v>
      </c>
      <c r="K5566" t="s">
        <v>20</v>
      </c>
      <c r="L5566" t="s">
        <v>290</v>
      </c>
      <c r="M5566" s="3" t="str">
        <f>HYPERLINK("..\..\Imagery\ScannedPhotos\1979\CG79-221cropped.jpg")</f>
        <v>..\..\Imagery\ScannedPhotos\1979\CG79-221cropped.jpg</v>
      </c>
      <c r="N5566" t="s">
        <v>4297</v>
      </c>
    </row>
    <row r="5567" spans="1:14" x14ac:dyDescent="0.25">
      <c r="A5567" t="s">
        <v>12423</v>
      </c>
      <c r="B5567">
        <v>445193</v>
      </c>
      <c r="C5567">
        <v>6076079</v>
      </c>
      <c r="D5567">
        <v>21</v>
      </c>
      <c r="E5567" t="s">
        <v>15</v>
      </c>
      <c r="F5567" t="s">
        <v>12793</v>
      </c>
      <c r="G5567">
        <v>3</v>
      </c>
      <c r="H5567" t="s">
        <v>696</v>
      </c>
      <c r="I5567" t="s">
        <v>281</v>
      </c>
      <c r="J5567" t="s">
        <v>355</v>
      </c>
      <c r="K5567" t="s">
        <v>228</v>
      </c>
      <c r="L5567" t="s">
        <v>12794</v>
      </c>
      <c r="M5567" s="3" t="str">
        <f>HYPERLINK("..\..\Imagery\ScannedPhotos\1979\CG79-222.1E.jpg")</f>
        <v>..\..\Imagery\ScannedPhotos\1979\CG79-222.1E.jpg</v>
      </c>
      <c r="N5567" t="s">
        <v>1808</v>
      </c>
    </row>
    <row r="5568" spans="1:14" x14ac:dyDescent="0.25">
      <c r="A5568" t="s">
        <v>12423</v>
      </c>
      <c r="B5568">
        <v>445193</v>
      </c>
      <c r="C5568">
        <v>6076079</v>
      </c>
      <c r="D5568">
        <v>21</v>
      </c>
      <c r="E5568" t="s">
        <v>15</v>
      </c>
      <c r="F5568" t="s">
        <v>12795</v>
      </c>
      <c r="G5568">
        <v>3</v>
      </c>
      <c r="H5568" t="s">
        <v>696</v>
      </c>
      <c r="I5568" t="s">
        <v>137</v>
      </c>
      <c r="J5568" t="s">
        <v>355</v>
      </c>
      <c r="K5568" t="s">
        <v>228</v>
      </c>
      <c r="L5568" t="s">
        <v>12796</v>
      </c>
      <c r="M5568" s="3" t="str">
        <f>HYPERLINK("..\..\Imagery\ScannedPhotos\1979\CG79-222.2E.jpg")</f>
        <v>..\..\Imagery\ScannedPhotos\1979\CG79-222.2E.jpg</v>
      </c>
      <c r="N5568" t="s">
        <v>1808</v>
      </c>
    </row>
    <row r="5569" spans="1:14" x14ac:dyDescent="0.25">
      <c r="A5569" t="s">
        <v>12797</v>
      </c>
      <c r="B5569">
        <v>369428</v>
      </c>
      <c r="C5569">
        <v>5830108</v>
      </c>
      <c r="D5569">
        <v>21</v>
      </c>
      <c r="E5569" t="s">
        <v>15</v>
      </c>
      <c r="F5569" t="s">
        <v>12798</v>
      </c>
      <c r="G5569">
        <v>1</v>
      </c>
      <c r="H5569" t="s">
        <v>1913</v>
      </c>
      <c r="I5569" t="s">
        <v>137</v>
      </c>
      <c r="J5569" t="s">
        <v>771</v>
      </c>
      <c r="K5569" t="s">
        <v>56</v>
      </c>
      <c r="L5569" t="s">
        <v>12799</v>
      </c>
      <c r="M5569" s="3" t="str">
        <f>HYPERLINK("..\..\Imagery\ScannedPhotos\1997\CG97-279.jpg")</f>
        <v>..\..\Imagery\ScannedPhotos\1997\CG97-279.jpg</v>
      </c>
    </row>
    <row r="5570" spans="1:14" x14ac:dyDescent="0.25">
      <c r="A5570" t="s">
        <v>12800</v>
      </c>
      <c r="B5570">
        <v>499042</v>
      </c>
      <c r="C5570">
        <v>5806165</v>
      </c>
      <c r="D5570">
        <v>21</v>
      </c>
      <c r="E5570" t="s">
        <v>15</v>
      </c>
      <c r="F5570" t="s">
        <v>12801</v>
      </c>
      <c r="G5570">
        <v>1</v>
      </c>
      <c r="H5570" t="s">
        <v>2344</v>
      </c>
      <c r="I5570" t="s">
        <v>294</v>
      </c>
      <c r="J5570" t="s">
        <v>2341</v>
      </c>
      <c r="K5570" t="s">
        <v>56</v>
      </c>
      <c r="L5570" t="s">
        <v>12802</v>
      </c>
      <c r="M5570" s="3" t="str">
        <f>HYPERLINK("..\..\Imagery\ScannedPhotos\1992\JA92-017.jpg")</f>
        <v>..\..\Imagery\ScannedPhotos\1992\JA92-017.jpg</v>
      </c>
    </row>
    <row r="5571" spans="1:14" x14ac:dyDescent="0.25">
      <c r="A5571" t="s">
        <v>11163</v>
      </c>
      <c r="B5571">
        <v>439909</v>
      </c>
      <c r="C5571">
        <v>5775371</v>
      </c>
      <c r="D5571">
        <v>21</v>
      </c>
      <c r="E5571" t="s">
        <v>15</v>
      </c>
      <c r="F5571" t="s">
        <v>12803</v>
      </c>
      <c r="G5571">
        <v>5</v>
      </c>
      <c r="H5571" t="s">
        <v>2563</v>
      </c>
      <c r="I5571" t="s">
        <v>304</v>
      </c>
      <c r="J5571" t="s">
        <v>905</v>
      </c>
      <c r="K5571" t="s">
        <v>228</v>
      </c>
      <c r="L5571" t="s">
        <v>11816</v>
      </c>
      <c r="M5571" s="3" t="str">
        <f>HYPERLINK("..\..\Imagery\ScannedPhotos\1992\JA92-124.3E.jpg")</f>
        <v>..\..\Imagery\ScannedPhotos\1992\JA92-124.3E.jpg</v>
      </c>
      <c r="N5571" t="s">
        <v>1808</v>
      </c>
    </row>
    <row r="5572" spans="1:14" x14ac:dyDescent="0.25">
      <c r="A5572" t="s">
        <v>12804</v>
      </c>
      <c r="B5572">
        <v>481195</v>
      </c>
      <c r="C5572">
        <v>5813849</v>
      </c>
      <c r="D5572">
        <v>21</v>
      </c>
      <c r="E5572" t="s">
        <v>15</v>
      </c>
      <c r="F5572" t="s">
        <v>12805</v>
      </c>
      <c r="G5572">
        <v>1</v>
      </c>
      <c r="H5572" t="s">
        <v>2340</v>
      </c>
      <c r="I5572" t="s">
        <v>18</v>
      </c>
      <c r="J5572" t="s">
        <v>2341</v>
      </c>
      <c r="K5572" t="s">
        <v>20</v>
      </c>
      <c r="L5572" t="s">
        <v>4726</v>
      </c>
      <c r="M5572" s="3" t="str">
        <f>HYPERLINK("..\..\Imagery\ScannedPhotos\1992\HP92-012.jpg")</f>
        <v>..\..\Imagery\ScannedPhotos\1992\HP92-012.jpg</v>
      </c>
    </row>
    <row r="5573" spans="1:14" x14ac:dyDescent="0.25">
      <c r="A5573" t="s">
        <v>12806</v>
      </c>
      <c r="B5573">
        <v>583233</v>
      </c>
      <c r="C5573">
        <v>5789275</v>
      </c>
      <c r="D5573">
        <v>21</v>
      </c>
      <c r="E5573" t="s">
        <v>15</v>
      </c>
      <c r="F5573" t="s">
        <v>12807</v>
      </c>
      <c r="G5573">
        <v>1</v>
      </c>
      <c r="H5573" t="s">
        <v>2984</v>
      </c>
      <c r="I5573" t="s">
        <v>214</v>
      </c>
      <c r="J5573" t="s">
        <v>19</v>
      </c>
      <c r="K5573" t="s">
        <v>20</v>
      </c>
      <c r="L5573" t="s">
        <v>12808</v>
      </c>
      <c r="M5573" s="3" t="str">
        <f>HYPERLINK("..\..\Imagery\ScannedPhotos\1987\CG87-462.jpg")</f>
        <v>..\..\Imagery\ScannedPhotos\1987\CG87-462.jpg</v>
      </c>
    </row>
    <row r="5574" spans="1:14" x14ac:dyDescent="0.25">
      <c r="A5574" t="s">
        <v>12809</v>
      </c>
      <c r="B5574">
        <v>583315</v>
      </c>
      <c r="C5574">
        <v>5789635</v>
      </c>
      <c r="D5574">
        <v>21</v>
      </c>
      <c r="E5574" t="s">
        <v>15</v>
      </c>
      <c r="F5574" t="s">
        <v>12810</v>
      </c>
      <c r="G5574">
        <v>1</v>
      </c>
      <c r="H5574" t="s">
        <v>2984</v>
      </c>
      <c r="I5574" t="s">
        <v>304</v>
      </c>
      <c r="J5574" t="s">
        <v>19</v>
      </c>
      <c r="K5574" t="s">
        <v>20</v>
      </c>
      <c r="L5574" t="s">
        <v>12811</v>
      </c>
      <c r="M5574" s="3" t="str">
        <f>HYPERLINK("..\..\Imagery\ScannedPhotos\1987\CG87-463.jpg")</f>
        <v>..\..\Imagery\ScannedPhotos\1987\CG87-463.jpg</v>
      </c>
    </row>
    <row r="5575" spans="1:14" x14ac:dyDescent="0.25">
      <c r="A5575" t="s">
        <v>7198</v>
      </c>
      <c r="B5575">
        <v>379225</v>
      </c>
      <c r="C5575">
        <v>5925962</v>
      </c>
      <c r="D5575">
        <v>21</v>
      </c>
      <c r="E5575" t="s">
        <v>15</v>
      </c>
      <c r="F5575" t="s">
        <v>12812</v>
      </c>
      <c r="G5575">
        <v>8</v>
      </c>
      <c r="H5575" t="s">
        <v>3762</v>
      </c>
      <c r="I5575" t="s">
        <v>209</v>
      </c>
      <c r="J5575" t="s">
        <v>557</v>
      </c>
      <c r="K5575" t="s">
        <v>20</v>
      </c>
      <c r="L5575" t="s">
        <v>7206</v>
      </c>
      <c r="M5575" s="3" t="str">
        <f>HYPERLINK("..\..\Imagery\ScannedPhotos\1995\CG95-249.7.jpg")</f>
        <v>..\..\Imagery\ScannedPhotos\1995\CG95-249.7.jpg</v>
      </c>
    </row>
    <row r="5576" spans="1:14" x14ac:dyDescent="0.25">
      <c r="A5576" t="s">
        <v>3797</v>
      </c>
      <c r="B5576">
        <v>384830</v>
      </c>
      <c r="C5576">
        <v>5916263</v>
      </c>
      <c r="D5576">
        <v>21</v>
      </c>
      <c r="E5576" t="s">
        <v>15</v>
      </c>
      <c r="F5576" t="s">
        <v>12813</v>
      </c>
      <c r="G5576">
        <v>2</v>
      </c>
      <c r="H5576" t="s">
        <v>3762</v>
      </c>
      <c r="I5576" t="s">
        <v>217</v>
      </c>
      <c r="J5576" t="s">
        <v>557</v>
      </c>
      <c r="K5576" t="s">
        <v>20</v>
      </c>
      <c r="L5576" t="s">
        <v>3799</v>
      </c>
      <c r="M5576" s="3" t="str">
        <f>HYPERLINK("..\..\Imagery\ScannedPhotos\1995\CG95-261.1.jpg")</f>
        <v>..\..\Imagery\ScannedPhotos\1995\CG95-261.1.jpg</v>
      </c>
    </row>
    <row r="5577" spans="1:14" x14ac:dyDescent="0.25">
      <c r="A5577" t="s">
        <v>12814</v>
      </c>
      <c r="B5577">
        <v>368072</v>
      </c>
      <c r="C5577">
        <v>5850860</v>
      </c>
      <c r="D5577">
        <v>21</v>
      </c>
      <c r="E5577" t="s">
        <v>15</v>
      </c>
      <c r="F5577" t="s">
        <v>12815</v>
      </c>
      <c r="G5577">
        <v>1</v>
      </c>
      <c r="H5577" t="s">
        <v>1919</v>
      </c>
      <c r="I5577" t="s">
        <v>69</v>
      </c>
      <c r="J5577" t="s">
        <v>771</v>
      </c>
      <c r="K5577" t="s">
        <v>56</v>
      </c>
      <c r="L5577" t="s">
        <v>12816</v>
      </c>
      <c r="M5577" s="3" t="str">
        <f>HYPERLINK("..\..\Imagery\ScannedPhotos\1997\CG97-026.jpg")</f>
        <v>..\..\Imagery\ScannedPhotos\1997\CG97-026.jpg</v>
      </c>
    </row>
    <row r="5578" spans="1:14" x14ac:dyDescent="0.25">
      <c r="A5578" t="s">
        <v>12817</v>
      </c>
      <c r="B5578">
        <v>369905</v>
      </c>
      <c r="C5578">
        <v>5851921</v>
      </c>
      <c r="D5578">
        <v>21</v>
      </c>
      <c r="E5578" t="s">
        <v>15</v>
      </c>
      <c r="F5578" t="s">
        <v>12818</v>
      </c>
      <c r="G5578">
        <v>2</v>
      </c>
      <c r="H5578" t="s">
        <v>1919</v>
      </c>
      <c r="I5578" t="s">
        <v>74</v>
      </c>
      <c r="J5578" t="s">
        <v>771</v>
      </c>
      <c r="K5578" t="s">
        <v>20</v>
      </c>
      <c r="L5578" t="s">
        <v>12819</v>
      </c>
      <c r="M5578" s="3" t="str">
        <f>HYPERLINK("..\..\Imagery\ScannedPhotos\1997\CG97-028.1.jpg")</f>
        <v>..\..\Imagery\ScannedPhotos\1997\CG97-028.1.jpg</v>
      </c>
    </row>
    <row r="5579" spans="1:14" x14ac:dyDescent="0.25">
      <c r="A5579" t="s">
        <v>12817</v>
      </c>
      <c r="B5579">
        <v>369905</v>
      </c>
      <c r="C5579">
        <v>5851921</v>
      </c>
      <c r="D5579">
        <v>21</v>
      </c>
      <c r="E5579" t="s">
        <v>15</v>
      </c>
      <c r="F5579" t="s">
        <v>12820</v>
      </c>
      <c r="G5579">
        <v>2</v>
      </c>
      <c r="H5579" t="s">
        <v>1919</v>
      </c>
      <c r="I5579" t="s">
        <v>41</v>
      </c>
      <c r="J5579" t="s">
        <v>771</v>
      </c>
      <c r="K5579" t="s">
        <v>56</v>
      </c>
      <c r="L5579" t="s">
        <v>12821</v>
      </c>
      <c r="M5579" s="3" t="str">
        <f>HYPERLINK("..\..\Imagery\ScannedPhotos\1997\CG97-028.2.jpg")</f>
        <v>..\..\Imagery\ScannedPhotos\1997\CG97-028.2.jpg</v>
      </c>
    </row>
    <row r="5580" spans="1:14" x14ac:dyDescent="0.25">
      <c r="A5580" t="s">
        <v>12822</v>
      </c>
      <c r="B5580">
        <v>399050</v>
      </c>
      <c r="C5580">
        <v>5868857</v>
      </c>
      <c r="D5580">
        <v>21</v>
      </c>
      <c r="E5580" t="s">
        <v>15</v>
      </c>
      <c r="F5580" t="s">
        <v>12823</v>
      </c>
      <c r="G5580">
        <v>1</v>
      </c>
      <c r="H5580" t="s">
        <v>1919</v>
      </c>
      <c r="I5580" t="s">
        <v>209</v>
      </c>
      <c r="J5580" t="s">
        <v>771</v>
      </c>
      <c r="K5580" t="s">
        <v>56</v>
      </c>
      <c r="L5580" t="s">
        <v>12824</v>
      </c>
      <c r="M5580" s="3" t="str">
        <f>HYPERLINK("..\..\Imagery\ScannedPhotos\1997\CG97-035.jpg")</f>
        <v>..\..\Imagery\ScannedPhotos\1997\CG97-035.jpg</v>
      </c>
    </row>
    <row r="5581" spans="1:14" x14ac:dyDescent="0.25">
      <c r="A5581" t="s">
        <v>12825</v>
      </c>
      <c r="B5581">
        <v>432272</v>
      </c>
      <c r="C5581">
        <v>5870370</v>
      </c>
      <c r="D5581">
        <v>21</v>
      </c>
      <c r="E5581" t="s">
        <v>15</v>
      </c>
      <c r="F5581" t="s">
        <v>12826</v>
      </c>
      <c r="G5581">
        <v>1</v>
      </c>
      <c r="H5581" t="s">
        <v>1919</v>
      </c>
      <c r="I5581" t="s">
        <v>386</v>
      </c>
      <c r="J5581" t="s">
        <v>771</v>
      </c>
      <c r="K5581" t="s">
        <v>56</v>
      </c>
      <c r="L5581" t="s">
        <v>3148</v>
      </c>
      <c r="M5581" s="3" t="str">
        <f>HYPERLINK("..\..\Imagery\ScannedPhotos\1997\CG97-038.jpg")</f>
        <v>..\..\Imagery\ScannedPhotos\1997\CG97-038.jpg</v>
      </c>
    </row>
    <row r="5582" spans="1:14" x14ac:dyDescent="0.25">
      <c r="A5582" t="s">
        <v>12827</v>
      </c>
      <c r="B5582">
        <v>432697</v>
      </c>
      <c r="C5582">
        <v>5868883</v>
      </c>
      <c r="D5582">
        <v>21</v>
      </c>
      <c r="E5582" t="s">
        <v>15</v>
      </c>
      <c r="F5582" t="s">
        <v>12828</v>
      </c>
      <c r="G5582">
        <v>1</v>
      </c>
      <c r="H5582" t="s">
        <v>1919</v>
      </c>
      <c r="I5582" t="s">
        <v>217</v>
      </c>
      <c r="J5582" t="s">
        <v>771</v>
      </c>
      <c r="K5582" t="s">
        <v>56</v>
      </c>
      <c r="L5582" t="s">
        <v>578</v>
      </c>
      <c r="M5582" s="3" t="str">
        <f>HYPERLINK("..\..\Imagery\ScannedPhotos\1997\CG97-040.jpg")</f>
        <v>..\..\Imagery\ScannedPhotos\1997\CG97-040.jpg</v>
      </c>
    </row>
    <row r="5583" spans="1:14" x14ac:dyDescent="0.25">
      <c r="A5583" t="s">
        <v>12829</v>
      </c>
      <c r="B5583">
        <v>428640</v>
      </c>
      <c r="C5583">
        <v>5863389</v>
      </c>
      <c r="D5583">
        <v>21</v>
      </c>
      <c r="E5583" t="s">
        <v>15</v>
      </c>
      <c r="F5583" t="s">
        <v>12830</v>
      </c>
      <c r="G5583">
        <v>2</v>
      </c>
      <c r="H5583" t="s">
        <v>1913</v>
      </c>
      <c r="I5583" t="s">
        <v>304</v>
      </c>
      <c r="J5583" t="s">
        <v>771</v>
      </c>
      <c r="K5583" t="s">
        <v>228</v>
      </c>
      <c r="L5583" t="s">
        <v>12831</v>
      </c>
      <c r="M5583" s="3" t="str">
        <f>HYPERLINK("..\..\Imagery\ScannedPhotos\1997\CG97-057.1.jpg")</f>
        <v>..\..\Imagery\ScannedPhotos\1997\CG97-057.1.jpg</v>
      </c>
    </row>
    <row r="5584" spans="1:14" x14ac:dyDescent="0.25">
      <c r="A5584" t="s">
        <v>10157</v>
      </c>
      <c r="B5584">
        <v>578685</v>
      </c>
      <c r="C5584">
        <v>5926970</v>
      </c>
      <c r="D5584">
        <v>21</v>
      </c>
      <c r="E5584" t="s">
        <v>15</v>
      </c>
      <c r="F5584" t="s">
        <v>12832</v>
      </c>
      <c r="G5584">
        <v>2</v>
      </c>
      <c r="H5584" t="s">
        <v>1378</v>
      </c>
      <c r="I5584" t="s">
        <v>74</v>
      </c>
      <c r="J5584" t="s">
        <v>628</v>
      </c>
      <c r="K5584" t="s">
        <v>20</v>
      </c>
      <c r="L5584" t="s">
        <v>12833</v>
      </c>
      <c r="M5584" s="3" t="str">
        <f>HYPERLINK("..\..\Imagery\ScannedPhotos\1985\CG85-619.1.jpg")</f>
        <v>..\..\Imagery\ScannedPhotos\1985\CG85-619.1.jpg</v>
      </c>
    </row>
    <row r="5585" spans="1:13" x14ac:dyDescent="0.25">
      <c r="A5585" t="s">
        <v>11890</v>
      </c>
      <c r="B5585">
        <v>577777</v>
      </c>
      <c r="C5585">
        <v>5926853</v>
      </c>
      <c r="D5585">
        <v>21</v>
      </c>
      <c r="E5585" t="s">
        <v>15</v>
      </c>
      <c r="F5585" t="s">
        <v>12834</v>
      </c>
      <c r="G5585">
        <v>4</v>
      </c>
      <c r="H5585" t="s">
        <v>1378</v>
      </c>
      <c r="I5585" t="s">
        <v>129</v>
      </c>
      <c r="J5585" t="s">
        <v>628</v>
      </c>
      <c r="K5585" t="s">
        <v>56</v>
      </c>
      <c r="L5585" t="s">
        <v>5297</v>
      </c>
      <c r="M5585" s="3" t="str">
        <f>HYPERLINK("..\..\Imagery\ScannedPhotos\1985\CG85-622.3.jpg")</f>
        <v>..\..\Imagery\ScannedPhotos\1985\CG85-622.3.jpg</v>
      </c>
    </row>
    <row r="5586" spans="1:13" x14ac:dyDescent="0.25">
      <c r="A5586" t="s">
        <v>11890</v>
      </c>
      <c r="B5586">
        <v>577777</v>
      </c>
      <c r="C5586">
        <v>5926853</v>
      </c>
      <c r="D5586">
        <v>21</v>
      </c>
      <c r="E5586" t="s">
        <v>15</v>
      </c>
      <c r="F5586" t="s">
        <v>12835</v>
      </c>
      <c r="G5586">
        <v>4</v>
      </c>
      <c r="H5586" t="s">
        <v>1378</v>
      </c>
      <c r="I5586" t="s">
        <v>375</v>
      </c>
      <c r="J5586" t="s">
        <v>628</v>
      </c>
      <c r="K5586" t="s">
        <v>56</v>
      </c>
      <c r="L5586" t="s">
        <v>12836</v>
      </c>
      <c r="M5586" s="3" t="str">
        <f>HYPERLINK("..\..\Imagery\ScannedPhotos\1985\CG85-622.2.jpg")</f>
        <v>..\..\Imagery\ScannedPhotos\1985\CG85-622.2.jpg</v>
      </c>
    </row>
    <row r="5587" spans="1:13" x14ac:dyDescent="0.25">
      <c r="A5587" t="s">
        <v>6328</v>
      </c>
      <c r="B5587">
        <v>496360</v>
      </c>
      <c r="C5587">
        <v>5722702</v>
      </c>
      <c r="D5587">
        <v>21</v>
      </c>
      <c r="E5587" t="s">
        <v>15</v>
      </c>
      <c r="F5587" t="s">
        <v>12837</v>
      </c>
      <c r="G5587">
        <v>4</v>
      </c>
      <c r="H5587" t="s">
        <v>6322</v>
      </c>
      <c r="I5587" t="s">
        <v>195</v>
      </c>
      <c r="J5587" t="s">
        <v>996</v>
      </c>
      <c r="K5587" t="s">
        <v>20</v>
      </c>
      <c r="L5587" t="s">
        <v>12838</v>
      </c>
      <c r="M5587" s="3" t="str">
        <f>HYPERLINK("..\..\Imagery\ScannedPhotos\1993\VN93-384.4.jpg")</f>
        <v>..\..\Imagery\ScannedPhotos\1993\VN93-384.4.jpg</v>
      </c>
    </row>
    <row r="5588" spans="1:13" x14ac:dyDescent="0.25">
      <c r="A5588" t="s">
        <v>12839</v>
      </c>
      <c r="B5588">
        <v>564318</v>
      </c>
      <c r="C5588">
        <v>5747108</v>
      </c>
      <c r="D5588">
        <v>21</v>
      </c>
      <c r="E5588" t="s">
        <v>15</v>
      </c>
      <c r="F5588" t="s">
        <v>12840</v>
      </c>
      <c r="G5588">
        <v>2</v>
      </c>
      <c r="H5588" t="s">
        <v>6322</v>
      </c>
      <c r="I5588" t="s">
        <v>25</v>
      </c>
      <c r="J5588" t="s">
        <v>996</v>
      </c>
      <c r="K5588" t="s">
        <v>20</v>
      </c>
      <c r="L5588" t="s">
        <v>12841</v>
      </c>
      <c r="M5588" s="3" t="str">
        <f>HYPERLINK("..\..\Imagery\ScannedPhotos\1993\VN93-408.1.jpg")</f>
        <v>..\..\Imagery\ScannedPhotos\1993\VN93-408.1.jpg</v>
      </c>
    </row>
    <row r="5589" spans="1:13" x14ac:dyDescent="0.25">
      <c r="A5589" t="s">
        <v>12839</v>
      </c>
      <c r="B5589">
        <v>564318</v>
      </c>
      <c r="C5589">
        <v>5747108</v>
      </c>
      <c r="D5589">
        <v>21</v>
      </c>
      <c r="E5589" t="s">
        <v>15</v>
      </c>
      <c r="F5589" t="s">
        <v>12842</v>
      </c>
      <c r="G5589">
        <v>2</v>
      </c>
      <c r="H5589" t="s">
        <v>6322</v>
      </c>
      <c r="I5589" t="s">
        <v>360</v>
      </c>
      <c r="J5589" t="s">
        <v>996</v>
      </c>
      <c r="K5589" t="s">
        <v>20</v>
      </c>
      <c r="L5589" t="s">
        <v>12843</v>
      </c>
      <c r="M5589" s="3" t="str">
        <f>HYPERLINK("..\..\Imagery\ScannedPhotos\1993\VN93-408.2.jpg")</f>
        <v>..\..\Imagery\ScannedPhotos\1993\VN93-408.2.jpg</v>
      </c>
    </row>
    <row r="5590" spans="1:13" x14ac:dyDescent="0.25">
      <c r="A5590" t="s">
        <v>12403</v>
      </c>
      <c r="B5590">
        <v>447658</v>
      </c>
      <c r="C5590">
        <v>5898785</v>
      </c>
      <c r="D5590">
        <v>21</v>
      </c>
      <c r="E5590" t="s">
        <v>15</v>
      </c>
      <c r="F5590" t="s">
        <v>12844</v>
      </c>
      <c r="G5590">
        <v>4</v>
      </c>
      <c r="H5590" t="s">
        <v>6176</v>
      </c>
      <c r="I5590" t="s">
        <v>304</v>
      </c>
      <c r="J5590" t="s">
        <v>2247</v>
      </c>
      <c r="K5590" t="s">
        <v>20</v>
      </c>
      <c r="L5590" t="s">
        <v>12405</v>
      </c>
      <c r="M5590" s="3" t="str">
        <f>HYPERLINK("..\..\Imagery\ScannedPhotos\1984\NN84-258.2.jpg")</f>
        <v>..\..\Imagery\ScannedPhotos\1984\NN84-258.2.jpg</v>
      </c>
    </row>
    <row r="5591" spans="1:13" x14ac:dyDescent="0.25">
      <c r="A5591" t="s">
        <v>12403</v>
      </c>
      <c r="B5591">
        <v>447658</v>
      </c>
      <c r="C5591">
        <v>5898785</v>
      </c>
      <c r="D5591">
        <v>21</v>
      </c>
      <c r="E5591" t="s">
        <v>15</v>
      </c>
      <c r="F5591" t="s">
        <v>12845</v>
      </c>
      <c r="G5591">
        <v>4</v>
      </c>
      <c r="H5591" t="s">
        <v>6176</v>
      </c>
      <c r="I5591" t="s">
        <v>195</v>
      </c>
      <c r="J5591" t="s">
        <v>2247</v>
      </c>
      <c r="K5591" t="s">
        <v>20</v>
      </c>
      <c r="L5591" t="s">
        <v>12405</v>
      </c>
      <c r="M5591" s="3" t="str">
        <f>HYPERLINK("..\..\Imagery\ScannedPhotos\1984\NN84-258.3.jpg")</f>
        <v>..\..\Imagery\ScannedPhotos\1984\NN84-258.3.jpg</v>
      </c>
    </row>
    <row r="5592" spans="1:13" x14ac:dyDescent="0.25">
      <c r="A5592" t="s">
        <v>12403</v>
      </c>
      <c r="B5592">
        <v>447658</v>
      </c>
      <c r="C5592">
        <v>5898785</v>
      </c>
      <c r="D5592">
        <v>21</v>
      </c>
      <c r="E5592" t="s">
        <v>15</v>
      </c>
      <c r="F5592" t="s">
        <v>12846</v>
      </c>
      <c r="G5592">
        <v>4</v>
      </c>
      <c r="H5592" t="s">
        <v>6176</v>
      </c>
      <c r="I5592" t="s">
        <v>25</v>
      </c>
      <c r="J5592" t="s">
        <v>2247</v>
      </c>
      <c r="K5592" t="s">
        <v>20</v>
      </c>
      <c r="L5592" t="s">
        <v>12405</v>
      </c>
      <c r="M5592" s="3" t="str">
        <f>HYPERLINK("..\..\Imagery\ScannedPhotos\1984\NN84-258.4.jpg")</f>
        <v>..\..\Imagery\ScannedPhotos\1984\NN84-258.4.jpg</v>
      </c>
    </row>
    <row r="5593" spans="1:13" x14ac:dyDescent="0.25">
      <c r="A5593" t="s">
        <v>12847</v>
      </c>
      <c r="B5593">
        <v>450968</v>
      </c>
      <c r="C5593">
        <v>5896928</v>
      </c>
      <c r="D5593">
        <v>21</v>
      </c>
      <c r="E5593" t="s">
        <v>15</v>
      </c>
      <c r="F5593" t="s">
        <v>12848</v>
      </c>
      <c r="G5593">
        <v>1</v>
      </c>
      <c r="H5593" t="s">
        <v>6176</v>
      </c>
      <c r="I5593" t="s">
        <v>360</v>
      </c>
      <c r="J5593" t="s">
        <v>2247</v>
      </c>
      <c r="K5593" t="s">
        <v>20</v>
      </c>
      <c r="L5593" t="s">
        <v>12402</v>
      </c>
      <c r="M5593" s="3" t="str">
        <f>HYPERLINK("..\..\Imagery\ScannedPhotos\1984\NN84-263.jpg")</f>
        <v>..\..\Imagery\ScannedPhotos\1984\NN84-263.jpg</v>
      </c>
    </row>
    <row r="5594" spans="1:13" x14ac:dyDescent="0.25">
      <c r="A5594" t="s">
        <v>12849</v>
      </c>
      <c r="B5594">
        <v>451868</v>
      </c>
      <c r="C5594">
        <v>5896826</v>
      </c>
      <c r="D5594">
        <v>21</v>
      </c>
      <c r="E5594" t="s">
        <v>15</v>
      </c>
      <c r="F5594" t="s">
        <v>12850</v>
      </c>
      <c r="G5594">
        <v>1</v>
      </c>
      <c r="H5594" t="s">
        <v>6176</v>
      </c>
      <c r="I5594" t="s">
        <v>647</v>
      </c>
      <c r="J5594" t="s">
        <v>2247</v>
      </c>
      <c r="K5594" t="s">
        <v>56</v>
      </c>
      <c r="L5594" t="s">
        <v>6180</v>
      </c>
      <c r="M5594" s="3" t="str">
        <f>HYPERLINK("..\..\Imagery\ScannedPhotos\1984\NN84-268.jpg")</f>
        <v>..\..\Imagery\ScannedPhotos\1984\NN84-268.jpg</v>
      </c>
    </row>
    <row r="5595" spans="1:13" x14ac:dyDescent="0.25">
      <c r="A5595" t="s">
        <v>12851</v>
      </c>
      <c r="B5595">
        <v>450574</v>
      </c>
      <c r="C5595">
        <v>5895850</v>
      </c>
      <c r="D5595">
        <v>21</v>
      </c>
      <c r="E5595" t="s">
        <v>15</v>
      </c>
      <c r="F5595" t="s">
        <v>12852</v>
      </c>
      <c r="G5595">
        <v>3</v>
      </c>
      <c r="H5595" t="s">
        <v>6176</v>
      </c>
      <c r="I5595" t="s">
        <v>122</v>
      </c>
      <c r="J5595" t="s">
        <v>2247</v>
      </c>
      <c r="K5595" t="s">
        <v>20</v>
      </c>
      <c r="L5595" t="s">
        <v>12853</v>
      </c>
      <c r="M5595" s="3" t="str">
        <f>HYPERLINK("..\..\Imagery\ScannedPhotos\1984\NN84-285.3.jpg")</f>
        <v>..\..\Imagery\ScannedPhotos\1984\NN84-285.3.jpg</v>
      </c>
    </row>
    <row r="5596" spans="1:13" x14ac:dyDescent="0.25">
      <c r="A5596" t="s">
        <v>12851</v>
      </c>
      <c r="B5596">
        <v>450574</v>
      </c>
      <c r="C5596">
        <v>5895850</v>
      </c>
      <c r="D5596">
        <v>21</v>
      </c>
      <c r="E5596" t="s">
        <v>15</v>
      </c>
      <c r="F5596" t="s">
        <v>12854</v>
      </c>
      <c r="G5596">
        <v>3</v>
      </c>
      <c r="H5596" t="s">
        <v>6176</v>
      </c>
      <c r="I5596" t="s">
        <v>119</v>
      </c>
      <c r="J5596" t="s">
        <v>2247</v>
      </c>
      <c r="K5596" t="s">
        <v>56</v>
      </c>
      <c r="L5596" t="s">
        <v>12853</v>
      </c>
      <c r="M5596" s="3" t="str">
        <f>HYPERLINK("..\..\Imagery\ScannedPhotos\1984\NN84-285.2.jpg")</f>
        <v>..\..\Imagery\ScannedPhotos\1984\NN84-285.2.jpg</v>
      </c>
    </row>
    <row r="5597" spans="1:13" x14ac:dyDescent="0.25">
      <c r="A5597" t="s">
        <v>10631</v>
      </c>
      <c r="B5597">
        <v>450420</v>
      </c>
      <c r="C5597">
        <v>5897747</v>
      </c>
      <c r="D5597">
        <v>21</v>
      </c>
      <c r="E5597" t="s">
        <v>15</v>
      </c>
      <c r="F5597" t="s">
        <v>12855</v>
      </c>
      <c r="G5597">
        <v>4</v>
      </c>
      <c r="H5597" t="s">
        <v>6176</v>
      </c>
      <c r="I5597" t="s">
        <v>147</v>
      </c>
      <c r="J5597" t="s">
        <v>2247</v>
      </c>
      <c r="K5597" t="s">
        <v>20</v>
      </c>
      <c r="L5597" t="s">
        <v>10633</v>
      </c>
      <c r="M5597" s="3" t="str">
        <f>HYPERLINK("..\..\Imagery\ScannedPhotos\1984\NN84-293.1.jpg")</f>
        <v>..\..\Imagery\ScannedPhotos\1984\NN84-293.1.jpg</v>
      </c>
    </row>
    <row r="5598" spans="1:13" x14ac:dyDescent="0.25">
      <c r="A5598" t="s">
        <v>10631</v>
      </c>
      <c r="B5598">
        <v>450420</v>
      </c>
      <c r="C5598">
        <v>5897747</v>
      </c>
      <c r="D5598">
        <v>21</v>
      </c>
      <c r="E5598" t="s">
        <v>15</v>
      </c>
      <c r="F5598" t="s">
        <v>12856</v>
      </c>
      <c r="G5598">
        <v>4</v>
      </c>
      <c r="H5598" t="s">
        <v>6176</v>
      </c>
      <c r="I5598" t="s">
        <v>47</v>
      </c>
      <c r="J5598" t="s">
        <v>2247</v>
      </c>
      <c r="K5598" t="s">
        <v>20</v>
      </c>
      <c r="L5598" t="s">
        <v>10633</v>
      </c>
      <c r="M5598" s="3" t="str">
        <f>HYPERLINK("..\..\Imagery\ScannedPhotos\1984\NN84-293.2.jpg")</f>
        <v>..\..\Imagery\ScannedPhotos\1984\NN84-293.2.jpg</v>
      </c>
    </row>
    <row r="5599" spans="1:13" x14ac:dyDescent="0.25">
      <c r="A5599" t="s">
        <v>12857</v>
      </c>
      <c r="B5599">
        <v>439829</v>
      </c>
      <c r="C5599">
        <v>5775546</v>
      </c>
      <c r="D5599">
        <v>21</v>
      </c>
      <c r="E5599" t="s">
        <v>15</v>
      </c>
      <c r="F5599" t="s">
        <v>12858</v>
      </c>
      <c r="G5599">
        <v>1</v>
      </c>
      <c r="H5599" t="s">
        <v>2563</v>
      </c>
      <c r="I5599" t="s">
        <v>214</v>
      </c>
      <c r="J5599" t="s">
        <v>905</v>
      </c>
      <c r="K5599" t="s">
        <v>20</v>
      </c>
      <c r="L5599" t="s">
        <v>12859</v>
      </c>
      <c r="M5599" s="3" t="str">
        <f>HYPERLINK("..\..\Imagery\ScannedPhotos\1992\JA92-123.jpg")</f>
        <v>..\..\Imagery\ScannedPhotos\1992\JA92-123.jpg</v>
      </c>
    </row>
    <row r="5600" spans="1:13" x14ac:dyDescent="0.25">
      <c r="A5600" t="s">
        <v>11163</v>
      </c>
      <c r="B5600">
        <v>439909</v>
      </c>
      <c r="C5600">
        <v>5775371</v>
      </c>
      <c r="D5600">
        <v>21</v>
      </c>
      <c r="E5600" t="s">
        <v>15</v>
      </c>
      <c r="F5600" t="s">
        <v>12860</v>
      </c>
      <c r="G5600">
        <v>5</v>
      </c>
      <c r="H5600" t="s">
        <v>2563</v>
      </c>
      <c r="I5600" t="s">
        <v>222</v>
      </c>
      <c r="J5600" t="s">
        <v>905</v>
      </c>
      <c r="K5600" t="s">
        <v>20</v>
      </c>
      <c r="L5600" t="s">
        <v>12861</v>
      </c>
      <c r="M5600" s="3" t="str">
        <f>HYPERLINK("..\..\Imagery\ScannedPhotos\1992\JA92-124.1.jpg")</f>
        <v>..\..\Imagery\ScannedPhotos\1992\JA92-124.1.jpg</v>
      </c>
    </row>
    <row r="5601" spans="1:14" x14ac:dyDescent="0.25">
      <c r="A5601" t="s">
        <v>11163</v>
      </c>
      <c r="B5601">
        <v>439909</v>
      </c>
      <c r="C5601">
        <v>5775371</v>
      </c>
      <c r="D5601">
        <v>21</v>
      </c>
      <c r="E5601" t="s">
        <v>15</v>
      </c>
      <c r="F5601" t="s">
        <v>12862</v>
      </c>
      <c r="G5601">
        <v>5</v>
      </c>
      <c r="H5601" t="s">
        <v>2563</v>
      </c>
      <c r="I5601" t="s">
        <v>418</v>
      </c>
      <c r="J5601" t="s">
        <v>905</v>
      </c>
      <c r="K5601" t="s">
        <v>228</v>
      </c>
      <c r="L5601" t="s">
        <v>11816</v>
      </c>
      <c r="M5601" s="3" t="str">
        <f>HYPERLINK("..\..\Imagery\ScannedPhotos\1992\JA92-124.2E.jpg")</f>
        <v>..\..\Imagery\ScannedPhotos\1992\JA92-124.2E.jpg</v>
      </c>
      <c r="N5601" t="s">
        <v>1808</v>
      </c>
    </row>
    <row r="5602" spans="1:14" x14ac:dyDescent="0.25">
      <c r="A5602" t="s">
        <v>12863</v>
      </c>
      <c r="B5602">
        <v>527236</v>
      </c>
      <c r="C5602">
        <v>5730159</v>
      </c>
      <c r="D5602">
        <v>21</v>
      </c>
      <c r="E5602" t="s">
        <v>15</v>
      </c>
      <c r="F5602" t="s">
        <v>12864</v>
      </c>
      <c r="G5602">
        <v>1</v>
      </c>
      <c r="H5602" t="s">
        <v>2355</v>
      </c>
      <c r="I5602" t="s">
        <v>647</v>
      </c>
      <c r="J5602" t="s">
        <v>886</v>
      </c>
      <c r="K5602" t="s">
        <v>56</v>
      </c>
      <c r="L5602" t="s">
        <v>12865</v>
      </c>
      <c r="M5602" s="3" t="str">
        <f>HYPERLINK("..\..\Imagery\ScannedPhotos\1993\VN93-064.jpg")</f>
        <v>..\..\Imagery\ScannedPhotos\1993\VN93-064.jpg</v>
      </c>
    </row>
    <row r="5603" spans="1:14" x14ac:dyDescent="0.25">
      <c r="A5603" t="s">
        <v>12866</v>
      </c>
      <c r="B5603">
        <v>523419</v>
      </c>
      <c r="C5603">
        <v>5729351</v>
      </c>
      <c r="D5603">
        <v>21</v>
      </c>
      <c r="E5603" t="s">
        <v>15</v>
      </c>
      <c r="F5603" t="s">
        <v>12867</v>
      </c>
      <c r="G5603">
        <v>1</v>
      </c>
      <c r="H5603" t="s">
        <v>2355</v>
      </c>
      <c r="I5603" t="s">
        <v>30</v>
      </c>
      <c r="J5603" t="s">
        <v>886</v>
      </c>
      <c r="K5603" t="s">
        <v>20</v>
      </c>
      <c r="L5603" t="s">
        <v>9709</v>
      </c>
      <c r="M5603" s="3" t="str">
        <f>HYPERLINK("..\..\Imagery\ScannedPhotos\1993\VN93-070.jpg")</f>
        <v>..\..\Imagery\ScannedPhotos\1993\VN93-070.jpg</v>
      </c>
    </row>
    <row r="5604" spans="1:14" x14ac:dyDescent="0.25">
      <c r="A5604" t="s">
        <v>12868</v>
      </c>
      <c r="B5604">
        <v>543025</v>
      </c>
      <c r="C5604">
        <v>5735650</v>
      </c>
      <c r="D5604">
        <v>21</v>
      </c>
      <c r="E5604" t="s">
        <v>15</v>
      </c>
      <c r="F5604" t="s">
        <v>12869</v>
      </c>
      <c r="G5604">
        <v>1</v>
      </c>
      <c r="H5604" t="s">
        <v>2355</v>
      </c>
      <c r="I5604" t="s">
        <v>114</v>
      </c>
      <c r="J5604" t="s">
        <v>886</v>
      </c>
      <c r="K5604" t="s">
        <v>56</v>
      </c>
      <c r="L5604" t="s">
        <v>12870</v>
      </c>
      <c r="M5604" s="3" t="str">
        <f>HYPERLINK("..\..\Imagery\ScannedPhotos\1993\VN93-074.jpg")</f>
        <v>..\..\Imagery\ScannedPhotos\1993\VN93-074.jpg</v>
      </c>
    </row>
    <row r="5605" spans="1:14" x14ac:dyDescent="0.25">
      <c r="A5605" t="s">
        <v>12871</v>
      </c>
      <c r="B5605">
        <v>563652</v>
      </c>
      <c r="C5605">
        <v>5841629</v>
      </c>
      <c r="D5605">
        <v>21</v>
      </c>
      <c r="E5605" t="s">
        <v>15</v>
      </c>
      <c r="F5605" t="s">
        <v>12872</v>
      </c>
      <c r="G5605">
        <v>1</v>
      </c>
      <c r="H5605" t="s">
        <v>1212</v>
      </c>
      <c r="I5605" t="s">
        <v>132</v>
      </c>
      <c r="J5605" t="s">
        <v>100</v>
      </c>
      <c r="K5605" t="s">
        <v>20</v>
      </c>
      <c r="L5605" t="s">
        <v>12873</v>
      </c>
      <c r="M5605" s="3" t="str">
        <f>HYPERLINK("..\..\Imagery\ScannedPhotos\1986\JS86-153.jpg")</f>
        <v>..\..\Imagery\ScannedPhotos\1986\JS86-153.jpg</v>
      </c>
    </row>
    <row r="5606" spans="1:14" x14ac:dyDescent="0.25">
      <c r="A5606" t="s">
        <v>12874</v>
      </c>
      <c r="B5606">
        <v>503099</v>
      </c>
      <c r="C5606">
        <v>5852667</v>
      </c>
      <c r="D5606">
        <v>21</v>
      </c>
      <c r="E5606" t="s">
        <v>15</v>
      </c>
      <c r="F5606" t="s">
        <v>12875</v>
      </c>
      <c r="G5606">
        <v>1</v>
      </c>
      <c r="H5606" t="s">
        <v>1212</v>
      </c>
      <c r="I5606" t="s">
        <v>129</v>
      </c>
      <c r="J5606" t="s">
        <v>100</v>
      </c>
      <c r="K5606" t="s">
        <v>20</v>
      </c>
      <c r="L5606" t="s">
        <v>1020</v>
      </c>
      <c r="M5606" s="3" t="str">
        <f>HYPERLINK("..\..\Imagery\ScannedPhotos\1986\JS86-164.jpg")</f>
        <v>..\..\Imagery\ScannedPhotos\1986\JS86-164.jpg</v>
      </c>
    </row>
    <row r="5607" spans="1:14" x14ac:dyDescent="0.25">
      <c r="A5607" t="s">
        <v>12876</v>
      </c>
      <c r="B5607">
        <v>501793</v>
      </c>
      <c r="C5607">
        <v>5850732</v>
      </c>
      <c r="D5607">
        <v>21</v>
      </c>
      <c r="E5607" t="s">
        <v>15</v>
      </c>
      <c r="F5607" t="s">
        <v>12877</v>
      </c>
      <c r="G5607">
        <v>1</v>
      </c>
      <c r="H5607" t="s">
        <v>1212</v>
      </c>
      <c r="I5607" t="s">
        <v>143</v>
      </c>
      <c r="J5607" t="s">
        <v>100</v>
      </c>
      <c r="K5607" t="s">
        <v>20</v>
      </c>
      <c r="L5607" t="s">
        <v>1263</v>
      </c>
      <c r="M5607" s="3" t="str">
        <f>HYPERLINK("..\..\Imagery\ScannedPhotos\1986\JS86-167.jpg")</f>
        <v>..\..\Imagery\ScannedPhotos\1986\JS86-167.jpg</v>
      </c>
    </row>
    <row r="5608" spans="1:14" x14ac:dyDescent="0.25">
      <c r="A5608" t="s">
        <v>12878</v>
      </c>
      <c r="B5608">
        <v>514994</v>
      </c>
      <c r="C5608">
        <v>5849543</v>
      </c>
      <c r="D5608">
        <v>21</v>
      </c>
      <c r="E5608" t="s">
        <v>15</v>
      </c>
      <c r="F5608" t="s">
        <v>12879</v>
      </c>
      <c r="G5608">
        <v>1</v>
      </c>
      <c r="H5608" t="s">
        <v>68</v>
      </c>
      <c r="I5608" t="s">
        <v>52</v>
      </c>
      <c r="J5608" t="s">
        <v>70</v>
      </c>
      <c r="K5608" t="s">
        <v>20</v>
      </c>
      <c r="L5608" t="s">
        <v>2573</v>
      </c>
      <c r="M5608" s="3" t="str">
        <f>HYPERLINK("..\..\Imagery\ScannedPhotos\1986\JS86-173.jpg")</f>
        <v>..\..\Imagery\ScannedPhotos\1986\JS86-173.jpg</v>
      </c>
    </row>
    <row r="5609" spans="1:14" x14ac:dyDescent="0.25">
      <c r="A5609" t="s">
        <v>12880</v>
      </c>
      <c r="B5609">
        <v>512459</v>
      </c>
      <c r="C5609">
        <v>5848418</v>
      </c>
      <c r="D5609">
        <v>21</v>
      </c>
      <c r="E5609" t="s">
        <v>15</v>
      </c>
      <c r="F5609" t="s">
        <v>12881</v>
      </c>
      <c r="G5609">
        <v>1</v>
      </c>
      <c r="H5609" t="s">
        <v>3303</v>
      </c>
      <c r="I5609" t="s">
        <v>281</v>
      </c>
      <c r="J5609" t="s">
        <v>300</v>
      </c>
      <c r="K5609" t="s">
        <v>20</v>
      </c>
      <c r="L5609" t="s">
        <v>6358</v>
      </c>
      <c r="M5609" s="3" t="str">
        <f>HYPERLINK("..\..\Imagery\ScannedPhotos\1986\JS86-178.jpg")</f>
        <v>..\..\Imagery\ScannedPhotos\1986\JS86-178.jpg</v>
      </c>
    </row>
    <row r="5610" spans="1:14" x14ac:dyDescent="0.25">
      <c r="A5610" t="s">
        <v>1702</v>
      </c>
      <c r="B5610">
        <v>412968</v>
      </c>
      <c r="C5610">
        <v>5994972</v>
      </c>
      <c r="D5610">
        <v>21</v>
      </c>
      <c r="E5610" t="s">
        <v>15</v>
      </c>
      <c r="F5610" t="s">
        <v>12882</v>
      </c>
      <c r="G5610">
        <v>4</v>
      </c>
      <c r="H5610" t="s">
        <v>758</v>
      </c>
      <c r="I5610" t="s">
        <v>30</v>
      </c>
      <c r="J5610" t="s">
        <v>759</v>
      </c>
      <c r="K5610" t="s">
        <v>20</v>
      </c>
      <c r="L5610" t="s">
        <v>8880</v>
      </c>
      <c r="M5610" s="3" t="str">
        <f>HYPERLINK("..\..\Imagery\ScannedPhotos\1980\RG80-065.2.jpg")</f>
        <v>..\..\Imagery\ScannedPhotos\1980\RG80-065.2.jpg</v>
      </c>
    </row>
    <row r="5611" spans="1:14" x14ac:dyDescent="0.25">
      <c r="A5611" t="s">
        <v>1702</v>
      </c>
      <c r="B5611">
        <v>412968</v>
      </c>
      <c r="C5611">
        <v>5994972</v>
      </c>
      <c r="D5611">
        <v>21</v>
      </c>
      <c r="E5611" t="s">
        <v>15</v>
      </c>
      <c r="F5611" t="s">
        <v>12883</v>
      </c>
      <c r="G5611">
        <v>4</v>
      </c>
      <c r="H5611" t="s">
        <v>758</v>
      </c>
      <c r="I5611" t="s">
        <v>647</v>
      </c>
      <c r="J5611" t="s">
        <v>759</v>
      </c>
      <c r="K5611" t="s">
        <v>20</v>
      </c>
      <c r="L5611" t="s">
        <v>12884</v>
      </c>
      <c r="M5611" s="3" t="str">
        <f>HYPERLINK("..\..\Imagery\ScannedPhotos\1980\RG80-065.1.jpg")</f>
        <v>..\..\Imagery\ScannedPhotos\1980\RG80-065.1.jpg</v>
      </c>
    </row>
    <row r="5612" spans="1:14" x14ac:dyDescent="0.25">
      <c r="A5612" t="s">
        <v>12885</v>
      </c>
      <c r="B5612">
        <v>412889</v>
      </c>
      <c r="C5612">
        <v>5994808</v>
      </c>
      <c r="D5612">
        <v>21</v>
      </c>
      <c r="E5612" t="s">
        <v>15</v>
      </c>
      <c r="F5612" t="s">
        <v>12886</v>
      </c>
      <c r="G5612">
        <v>5</v>
      </c>
      <c r="H5612" t="s">
        <v>2967</v>
      </c>
      <c r="I5612" t="s">
        <v>114</v>
      </c>
      <c r="J5612" t="s">
        <v>2968</v>
      </c>
      <c r="K5612" t="s">
        <v>20</v>
      </c>
      <c r="L5612" t="s">
        <v>12887</v>
      </c>
      <c r="M5612" s="3" t="str">
        <f>HYPERLINK("..\..\Imagery\ScannedPhotos\1980\RG80-066.4.jpg")</f>
        <v>..\..\Imagery\ScannedPhotos\1980\RG80-066.4.jpg</v>
      </c>
    </row>
    <row r="5613" spans="1:14" x14ac:dyDescent="0.25">
      <c r="A5613" t="s">
        <v>12885</v>
      </c>
      <c r="B5613">
        <v>412889</v>
      </c>
      <c r="C5613">
        <v>5994808</v>
      </c>
      <c r="D5613">
        <v>21</v>
      </c>
      <c r="E5613" t="s">
        <v>15</v>
      </c>
      <c r="F5613" t="s">
        <v>12888</v>
      </c>
      <c r="G5613">
        <v>5</v>
      </c>
      <c r="H5613" t="s">
        <v>758</v>
      </c>
      <c r="I5613" t="s">
        <v>126</v>
      </c>
      <c r="J5613" t="s">
        <v>759</v>
      </c>
      <c r="K5613" t="s">
        <v>20</v>
      </c>
      <c r="L5613" t="s">
        <v>12889</v>
      </c>
      <c r="M5613" s="3" t="str">
        <f>HYPERLINK("..\..\Imagery\ScannedPhotos\1980\RG80-066.2.jpg")</f>
        <v>..\..\Imagery\ScannedPhotos\1980\RG80-066.2.jpg</v>
      </c>
    </row>
    <row r="5614" spans="1:14" x14ac:dyDescent="0.25">
      <c r="A5614" t="s">
        <v>12885</v>
      </c>
      <c r="B5614">
        <v>412889</v>
      </c>
      <c r="C5614">
        <v>5994808</v>
      </c>
      <c r="D5614">
        <v>21</v>
      </c>
      <c r="E5614" t="s">
        <v>15</v>
      </c>
      <c r="F5614" t="s">
        <v>12890</v>
      </c>
      <c r="G5614">
        <v>5</v>
      </c>
      <c r="H5614" t="s">
        <v>758</v>
      </c>
      <c r="I5614" t="s">
        <v>122</v>
      </c>
      <c r="J5614" t="s">
        <v>759</v>
      </c>
      <c r="K5614" t="s">
        <v>20</v>
      </c>
      <c r="L5614" t="s">
        <v>12891</v>
      </c>
      <c r="M5614" s="3" t="str">
        <f>HYPERLINK("..\..\Imagery\ScannedPhotos\1980\RG80-066.1.jpg")</f>
        <v>..\..\Imagery\ScannedPhotos\1980\RG80-066.1.jpg</v>
      </c>
    </row>
    <row r="5615" spans="1:14" x14ac:dyDescent="0.25">
      <c r="A5615" t="s">
        <v>12885</v>
      </c>
      <c r="B5615">
        <v>412889</v>
      </c>
      <c r="C5615">
        <v>5994808</v>
      </c>
      <c r="D5615">
        <v>21</v>
      </c>
      <c r="E5615" t="s">
        <v>15</v>
      </c>
      <c r="F5615" t="s">
        <v>12892</v>
      </c>
      <c r="G5615">
        <v>5</v>
      </c>
      <c r="H5615" t="s">
        <v>2967</v>
      </c>
      <c r="I5615" t="s">
        <v>30</v>
      </c>
      <c r="J5615" t="s">
        <v>2968</v>
      </c>
      <c r="K5615" t="s">
        <v>20</v>
      </c>
      <c r="L5615" t="s">
        <v>12887</v>
      </c>
      <c r="M5615" s="3" t="str">
        <f>HYPERLINK("..\..\Imagery\ScannedPhotos\1980\RG80-066.3.jpg")</f>
        <v>..\..\Imagery\ScannedPhotos\1980\RG80-066.3.jpg</v>
      </c>
    </row>
    <row r="5616" spans="1:14" x14ac:dyDescent="0.25">
      <c r="A5616" t="s">
        <v>12885</v>
      </c>
      <c r="B5616">
        <v>412889</v>
      </c>
      <c r="C5616">
        <v>5994808</v>
      </c>
      <c r="D5616">
        <v>21</v>
      </c>
      <c r="E5616" t="s">
        <v>15</v>
      </c>
      <c r="F5616" t="s">
        <v>12893</v>
      </c>
      <c r="G5616">
        <v>5</v>
      </c>
      <c r="H5616" t="s">
        <v>2967</v>
      </c>
      <c r="I5616" t="s">
        <v>119</v>
      </c>
      <c r="J5616" t="s">
        <v>2968</v>
      </c>
      <c r="K5616" t="s">
        <v>20</v>
      </c>
      <c r="L5616" t="s">
        <v>12894</v>
      </c>
      <c r="M5616" s="3" t="str">
        <f>HYPERLINK("..\..\Imagery\ScannedPhotos\1980\RG80-066.5.jpg")</f>
        <v>..\..\Imagery\ScannedPhotos\1980\RG80-066.5.jpg</v>
      </c>
    </row>
    <row r="5617" spans="1:13" x14ac:dyDescent="0.25">
      <c r="A5617" t="s">
        <v>4787</v>
      </c>
      <c r="B5617">
        <v>413008</v>
      </c>
      <c r="C5617">
        <v>5993976</v>
      </c>
      <c r="D5617">
        <v>21</v>
      </c>
      <c r="E5617" t="s">
        <v>15</v>
      </c>
      <c r="F5617" t="s">
        <v>12895</v>
      </c>
      <c r="G5617">
        <v>2</v>
      </c>
      <c r="H5617" t="s">
        <v>758</v>
      </c>
      <c r="I5617" t="s">
        <v>132</v>
      </c>
      <c r="J5617" t="s">
        <v>759</v>
      </c>
      <c r="K5617" t="s">
        <v>20</v>
      </c>
      <c r="L5617" t="s">
        <v>4789</v>
      </c>
      <c r="M5617" s="3" t="str">
        <f>HYPERLINK("..\..\Imagery\ScannedPhotos\1980\RG80-069.2.jpg")</f>
        <v>..\..\Imagery\ScannedPhotos\1980\RG80-069.2.jpg</v>
      </c>
    </row>
    <row r="5618" spans="1:13" x14ac:dyDescent="0.25">
      <c r="A5618" t="s">
        <v>11143</v>
      </c>
      <c r="B5618">
        <v>582271</v>
      </c>
      <c r="C5618">
        <v>5887364</v>
      </c>
      <c r="D5618">
        <v>21</v>
      </c>
      <c r="E5618" t="s">
        <v>15</v>
      </c>
      <c r="F5618" t="s">
        <v>12896</v>
      </c>
      <c r="G5618">
        <v>3</v>
      </c>
      <c r="H5618" t="s">
        <v>4870</v>
      </c>
      <c r="I5618" t="s">
        <v>85</v>
      </c>
      <c r="J5618" t="s">
        <v>138</v>
      </c>
      <c r="K5618" t="s">
        <v>20</v>
      </c>
      <c r="L5618" t="s">
        <v>12897</v>
      </c>
      <c r="M5618" s="3" t="str">
        <f>HYPERLINK("..\..\Imagery\ScannedPhotos\1985\GM85-515.3.jpg")</f>
        <v>..\..\Imagery\ScannedPhotos\1985\GM85-515.3.jpg</v>
      </c>
    </row>
    <row r="5619" spans="1:13" x14ac:dyDescent="0.25">
      <c r="A5619" t="s">
        <v>12898</v>
      </c>
      <c r="B5619">
        <v>521336</v>
      </c>
      <c r="C5619">
        <v>5860052</v>
      </c>
      <c r="D5619">
        <v>21</v>
      </c>
      <c r="E5619" t="s">
        <v>15</v>
      </c>
      <c r="F5619" t="s">
        <v>12899</v>
      </c>
      <c r="G5619">
        <v>1</v>
      </c>
      <c r="H5619" t="s">
        <v>68</v>
      </c>
      <c r="I5619" t="s">
        <v>30</v>
      </c>
      <c r="J5619" t="s">
        <v>70</v>
      </c>
      <c r="K5619" t="s">
        <v>56</v>
      </c>
      <c r="L5619" t="s">
        <v>12900</v>
      </c>
      <c r="M5619" s="3" t="str">
        <f>HYPERLINK("..\..\Imagery\ScannedPhotos\1986\SN86-180.jpg")</f>
        <v>..\..\Imagery\ScannedPhotos\1986\SN86-180.jpg</v>
      </c>
    </row>
    <row r="5620" spans="1:13" x14ac:dyDescent="0.25">
      <c r="A5620" t="s">
        <v>10386</v>
      </c>
      <c r="B5620">
        <v>579273</v>
      </c>
      <c r="C5620">
        <v>5921868</v>
      </c>
      <c r="D5620">
        <v>21</v>
      </c>
      <c r="E5620" t="s">
        <v>15</v>
      </c>
      <c r="F5620" t="s">
        <v>12901</v>
      </c>
      <c r="G5620">
        <v>4</v>
      </c>
      <c r="H5620" t="s">
        <v>1994</v>
      </c>
      <c r="I5620" t="s">
        <v>65</v>
      </c>
      <c r="J5620" t="s">
        <v>138</v>
      </c>
      <c r="K5620" t="s">
        <v>20</v>
      </c>
      <c r="L5620" t="s">
        <v>12902</v>
      </c>
      <c r="M5620" s="3" t="str">
        <f>HYPERLINK("..\..\Imagery\ScannedPhotos\1985\GM85-597.4.jpg")</f>
        <v>..\..\Imagery\ScannedPhotos\1985\GM85-597.4.jpg</v>
      </c>
    </row>
    <row r="5621" spans="1:13" x14ac:dyDescent="0.25">
      <c r="A5621" t="s">
        <v>12903</v>
      </c>
      <c r="B5621">
        <v>579567</v>
      </c>
      <c r="C5621">
        <v>5921968</v>
      </c>
      <c r="D5621">
        <v>21</v>
      </c>
      <c r="E5621" t="s">
        <v>15</v>
      </c>
      <c r="F5621" t="s">
        <v>12904</v>
      </c>
      <c r="G5621">
        <v>1</v>
      </c>
      <c r="H5621" t="s">
        <v>1994</v>
      </c>
      <c r="I5621" t="s">
        <v>401</v>
      </c>
      <c r="J5621" t="s">
        <v>138</v>
      </c>
      <c r="K5621" t="s">
        <v>20</v>
      </c>
      <c r="L5621" t="s">
        <v>9912</v>
      </c>
      <c r="M5621" s="3" t="str">
        <f>HYPERLINK("..\..\Imagery\ScannedPhotos\1985\GM85-598.jpg")</f>
        <v>..\..\Imagery\ScannedPhotos\1985\GM85-598.jpg</v>
      </c>
    </row>
    <row r="5622" spans="1:13" x14ac:dyDescent="0.25">
      <c r="A5622" t="s">
        <v>12905</v>
      </c>
      <c r="B5622">
        <v>574212</v>
      </c>
      <c r="C5622">
        <v>5916161</v>
      </c>
      <c r="D5622">
        <v>21</v>
      </c>
      <c r="E5622" t="s">
        <v>15</v>
      </c>
      <c r="F5622" t="s">
        <v>12906</v>
      </c>
      <c r="G5622">
        <v>3</v>
      </c>
      <c r="H5622" t="s">
        <v>1577</v>
      </c>
      <c r="I5622" t="s">
        <v>281</v>
      </c>
      <c r="J5622" t="s">
        <v>1374</v>
      </c>
      <c r="K5622" t="s">
        <v>20</v>
      </c>
      <c r="L5622" t="s">
        <v>12907</v>
      </c>
      <c r="M5622" s="3" t="str">
        <f>HYPERLINK("..\..\Imagery\ScannedPhotos\1985\GM85-612.3.jpg")</f>
        <v>..\..\Imagery\ScannedPhotos\1985\GM85-612.3.jpg</v>
      </c>
    </row>
    <row r="5623" spans="1:13" x14ac:dyDescent="0.25">
      <c r="A5623" t="s">
        <v>12905</v>
      </c>
      <c r="B5623">
        <v>574212</v>
      </c>
      <c r="C5623">
        <v>5916161</v>
      </c>
      <c r="D5623">
        <v>21</v>
      </c>
      <c r="E5623" t="s">
        <v>15</v>
      </c>
      <c r="F5623" t="s">
        <v>12908</v>
      </c>
      <c r="G5623">
        <v>3</v>
      </c>
      <c r="H5623" t="s">
        <v>1577</v>
      </c>
      <c r="I5623" t="s">
        <v>79</v>
      </c>
      <c r="J5623" t="s">
        <v>1374</v>
      </c>
      <c r="K5623" t="s">
        <v>20</v>
      </c>
      <c r="L5623" t="s">
        <v>12907</v>
      </c>
      <c r="M5623" s="3" t="str">
        <f>HYPERLINK("..\..\Imagery\ScannedPhotos\1985\GM85-612.2.jpg")</f>
        <v>..\..\Imagery\ScannedPhotos\1985\GM85-612.2.jpg</v>
      </c>
    </row>
    <row r="5624" spans="1:13" x14ac:dyDescent="0.25">
      <c r="A5624" t="s">
        <v>12905</v>
      </c>
      <c r="B5624">
        <v>574212</v>
      </c>
      <c r="C5624">
        <v>5916161</v>
      </c>
      <c r="D5624">
        <v>21</v>
      </c>
      <c r="E5624" t="s">
        <v>15</v>
      </c>
      <c r="F5624" t="s">
        <v>12909</v>
      </c>
      <c r="G5624">
        <v>3</v>
      </c>
      <c r="H5624" t="s">
        <v>1577</v>
      </c>
      <c r="I5624" t="s">
        <v>294</v>
      </c>
      <c r="J5624" t="s">
        <v>1374</v>
      </c>
      <c r="K5624" t="s">
        <v>20</v>
      </c>
      <c r="L5624" t="s">
        <v>12910</v>
      </c>
      <c r="M5624" s="3" t="str">
        <f>HYPERLINK("..\..\Imagery\ScannedPhotos\1985\GM85-612.1.jpg")</f>
        <v>..\..\Imagery\ScannedPhotos\1985\GM85-612.1.jpg</v>
      </c>
    </row>
    <row r="5625" spans="1:13" x14ac:dyDescent="0.25">
      <c r="A5625" t="s">
        <v>12911</v>
      </c>
      <c r="B5625">
        <v>575007</v>
      </c>
      <c r="C5625">
        <v>5915570</v>
      </c>
      <c r="D5625">
        <v>21</v>
      </c>
      <c r="E5625" t="s">
        <v>15</v>
      </c>
      <c r="F5625" t="s">
        <v>12912</v>
      </c>
      <c r="G5625">
        <v>1</v>
      </c>
      <c r="H5625" t="s">
        <v>1577</v>
      </c>
      <c r="I5625" t="s">
        <v>137</v>
      </c>
      <c r="J5625" t="s">
        <v>1374</v>
      </c>
      <c r="K5625" t="s">
        <v>20</v>
      </c>
      <c r="L5625" t="s">
        <v>12913</v>
      </c>
      <c r="M5625" s="3" t="str">
        <f>HYPERLINK("..\..\Imagery\ScannedPhotos\1985\GM85-614.jpg")</f>
        <v>..\..\Imagery\ScannedPhotos\1985\GM85-614.jpg</v>
      </c>
    </row>
    <row r="5626" spans="1:13" x14ac:dyDescent="0.25">
      <c r="A5626" t="s">
        <v>12914</v>
      </c>
      <c r="B5626">
        <v>573713</v>
      </c>
      <c r="C5626">
        <v>5916464</v>
      </c>
      <c r="D5626">
        <v>21</v>
      </c>
      <c r="E5626" t="s">
        <v>15</v>
      </c>
      <c r="F5626" t="s">
        <v>12915</v>
      </c>
      <c r="G5626">
        <v>4</v>
      </c>
      <c r="H5626" t="s">
        <v>1577</v>
      </c>
      <c r="I5626" t="s">
        <v>69</v>
      </c>
      <c r="J5626" t="s">
        <v>1374</v>
      </c>
      <c r="K5626" t="s">
        <v>20</v>
      </c>
      <c r="L5626" t="s">
        <v>12916</v>
      </c>
      <c r="M5626" s="3" t="str">
        <f>HYPERLINK("..\..\Imagery\ScannedPhotos\1985\GM85-624.3.jpg")</f>
        <v>..\..\Imagery\ScannedPhotos\1985\GM85-624.3.jpg</v>
      </c>
    </row>
    <row r="5627" spans="1:13" x14ac:dyDescent="0.25">
      <c r="A5627" t="s">
        <v>12914</v>
      </c>
      <c r="B5627">
        <v>573713</v>
      </c>
      <c r="C5627">
        <v>5916464</v>
      </c>
      <c r="D5627">
        <v>21</v>
      </c>
      <c r="E5627" t="s">
        <v>15</v>
      </c>
      <c r="F5627" t="s">
        <v>12917</v>
      </c>
      <c r="G5627">
        <v>4</v>
      </c>
      <c r="H5627" t="s">
        <v>1577</v>
      </c>
      <c r="I5627" t="s">
        <v>18</v>
      </c>
      <c r="J5627" t="s">
        <v>1374</v>
      </c>
      <c r="K5627" t="s">
        <v>20</v>
      </c>
      <c r="L5627" t="s">
        <v>12918</v>
      </c>
      <c r="M5627" s="3" t="str">
        <f>HYPERLINK("..\..\Imagery\ScannedPhotos\1985\GM85-624.1.jpg")</f>
        <v>..\..\Imagery\ScannedPhotos\1985\GM85-624.1.jpg</v>
      </c>
    </row>
    <row r="5628" spans="1:13" x14ac:dyDescent="0.25">
      <c r="A5628" t="s">
        <v>12919</v>
      </c>
      <c r="B5628">
        <v>502445</v>
      </c>
      <c r="C5628">
        <v>5821060</v>
      </c>
      <c r="D5628">
        <v>21</v>
      </c>
      <c r="E5628" t="s">
        <v>15</v>
      </c>
      <c r="F5628" t="s">
        <v>12920</v>
      </c>
      <c r="G5628">
        <v>1</v>
      </c>
      <c r="H5628" t="s">
        <v>4591</v>
      </c>
      <c r="I5628" t="s">
        <v>94</v>
      </c>
      <c r="J5628" t="s">
        <v>1233</v>
      </c>
      <c r="K5628" t="s">
        <v>56</v>
      </c>
      <c r="L5628" t="s">
        <v>12921</v>
      </c>
      <c r="M5628" s="3" t="str">
        <f>HYPERLINK("..\..\Imagery\ScannedPhotos\1986\SN86-273.jpg")</f>
        <v>..\..\Imagery\ScannedPhotos\1986\SN86-273.jpg</v>
      </c>
    </row>
    <row r="5629" spans="1:13" x14ac:dyDescent="0.25">
      <c r="A5629" t="s">
        <v>8018</v>
      </c>
      <c r="B5629">
        <v>502146</v>
      </c>
      <c r="C5629">
        <v>5820128</v>
      </c>
      <c r="D5629">
        <v>21</v>
      </c>
      <c r="E5629" t="s">
        <v>15</v>
      </c>
      <c r="F5629" t="s">
        <v>12922</v>
      </c>
      <c r="G5629">
        <v>2</v>
      </c>
      <c r="H5629" t="s">
        <v>4591</v>
      </c>
      <c r="I5629" t="s">
        <v>209</v>
      </c>
      <c r="J5629" t="s">
        <v>1233</v>
      </c>
      <c r="K5629" t="s">
        <v>20</v>
      </c>
      <c r="L5629" t="s">
        <v>12923</v>
      </c>
      <c r="M5629" s="3" t="str">
        <f>HYPERLINK("..\..\Imagery\ScannedPhotos\1986\SN86-276.1.jpg")</f>
        <v>..\..\Imagery\ScannedPhotos\1986\SN86-276.1.jpg</v>
      </c>
    </row>
    <row r="5630" spans="1:13" x14ac:dyDescent="0.25">
      <c r="A5630" t="s">
        <v>1403</v>
      </c>
      <c r="B5630">
        <v>537298</v>
      </c>
      <c r="C5630">
        <v>5961593</v>
      </c>
      <c r="D5630">
        <v>21</v>
      </c>
      <c r="E5630" t="s">
        <v>15</v>
      </c>
      <c r="F5630" t="s">
        <v>12924</v>
      </c>
      <c r="G5630">
        <v>31</v>
      </c>
      <c r="H5630" t="s">
        <v>2733</v>
      </c>
      <c r="I5630" t="s">
        <v>122</v>
      </c>
      <c r="J5630" t="s">
        <v>814</v>
      </c>
      <c r="K5630" t="s">
        <v>20</v>
      </c>
      <c r="L5630" t="s">
        <v>12925</v>
      </c>
      <c r="M5630" s="3" t="str">
        <f>HYPERLINK("..\..\Imagery\ScannedPhotos\1981\CG81-306.30.jpg")</f>
        <v>..\..\Imagery\ScannedPhotos\1981\CG81-306.30.jpg</v>
      </c>
    </row>
    <row r="5631" spans="1:13" x14ac:dyDescent="0.25">
      <c r="A5631" t="s">
        <v>9641</v>
      </c>
      <c r="B5631">
        <v>496775</v>
      </c>
      <c r="C5631">
        <v>5864100</v>
      </c>
      <c r="D5631">
        <v>21</v>
      </c>
      <c r="E5631" t="s">
        <v>15</v>
      </c>
      <c r="F5631" t="s">
        <v>12926</v>
      </c>
      <c r="G5631">
        <v>2</v>
      </c>
      <c r="H5631" t="s">
        <v>616</v>
      </c>
      <c r="I5631" t="s">
        <v>375</v>
      </c>
      <c r="J5631" t="s">
        <v>413</v>
      </c>
      <c r="K5631" t="s">
        <v>20</v>
      </c>
      <c r="L5631" t="s">
        <v>322</v>
      </c>
      <c r="M5631" s="3" t="str">
        <f>HYPERLINK("..\..\Imagery\ScannedPhotos\1991\DD91-032.1.jpg")</f>
        <v>..\..\Imagery\ScannedPhotos\1991\DD91-032.1.jpg</v>
      </c>
    </row>
    <row r="5632" spans="1:13" x14ac:dyDescent="0.25">
      <c r="A5632" t="s">
        <v>8594</v>
      </c>
      <c r="B5632">
        <v>332160</v>
      </c>
      <c r="C5632">
        <v>5771420</v>
      </c>
      <c r="D5632">
        <v>21</v>
      </c>
      <c r="E5632" t="s">
        <v>15</v>
      </c>
      <c r="F5632" t="s">
        <v>12927</v>
      </c>
      <c r="G5632">
        <v>11</v>
      </c>
      <c r="H5632" t="s">
        <v>3404</v>
      </c>
      <c r="I5632" t="s">
        <v>18</v>
      </c>
      <c r="J5632" t="s">
        <v>80</v>
      </c>
      <c r="K5632" t="s">
        <v>20</v>
      </c>
      <c r="L5632" t="s">
        <v>116</v>
      </c>
      <c r="M5632" s="3" t="str">
        <f>HYPERLINK("..\..\Imagery\ScannedPhotos\2000\CG00-154.2.jpg")</f>
        <v>..\..\Imagery\ScannedPhotos\2000\CG00-154.2.jpg</v>
      </c>
    </row>
    <row r="5633" spans="1:13" x14ac:dyDescent="0.25">
      <c r="A5633" t="s">
        <v>8594</v>
      </c>
      <c r="B5633">
        <v>332160</v>
      </c>
      <c r="C5633">
        <v>5771420</v>
      </c>
      <c r="D5633">
        <v>21</v>
      </c>
      <c r="E5633" t="s">
        <v>15</v>
      </c>
      <c r="F5633" t="s">
        <v>12928</v>
      </c>
      <c r="G5633">
        <v>11</v>
      </c>
      <c r="H5633" t="s">
        <v>3404</v>
      </c>
      <c r="I5633" t="s">
        <v>69</v>
      </c>
      <c r="J5633" t="s">
        <v>80</v>
      </c>
      <c r="K5633" t="s">
        <v>228</v>
      </c>
      <c r="L5633" t="s">
        <v>12929</v>
      </c>
      <c r="M5633" s="3" t="str">
        <f>HYPERLINK("..\..\Imagery\ScannedPhotos\2000\CG00-154.4.jpg")</f>
        <v>..\..\Imagery\ScannedPhotos\2000\CG00-154.4.jpg</v>
      </c>
    </row>
    <row r="5634" spans="1:13" x14ac:dyDescent="0.25">
      <c r="A5634" t="s">
        <v>8594</v>
      </c>
      <c r="B5634">
        <v>332160</v>
      </c>
      <c r="C5634">
        <v>5771420</v>
      </c>
      <c r="D5634">
        <v>21</v>
      </c>
      <c r="E5634" t="s">
        <v>15</v>
      </c>
      <c r="F5634" t="s">
        <v>12930</v>
      </c>
      <c r="G5634">
        <v>11</v>
      </c>
      <c r="H5634" t="s">
        <v>3404</v>
      </c>
      <c r="I5634" t="s">
        <v>74</v>
      </c>
      <c r="J5634" t="s">
        <v>80</v>
      </c>
      <c r="K5634" t="s">
        <v>20</v>
      </c>
      <c r="L5634" t="s">
        <v>12931</v>
      </c>
      <c r="M5634" s="3" t="str">
        <f>HYPERLINK("..\..\Imagery\ScannedPhotos\2000\CG00-154.5.jpg")</f>
        <v>..\..\Imagery\ScannedPhotos\2000\CG00-154.5.jpg</v>
      </c>
    </row>
    <row r="5635" spans="1:13" x14ac:dyDescent="0.25">
      <c r="A5635" t="s">
        <v>12932</v>
      </c>
      <c r="B5635">
        <v>543908</v>
      </c>
      <c r="C5635">
        <v>5743793</v>
      </c>
      <c r="D5635">
        <v>21</v>
      </c>
      <c r="E5635" t="s">
        <v>15</v>
      </c>
      <c r="F5635" t="s">
        <v>12933</v>
      </c>
      <c r="G5635">
        <v>1</v>
      </c>
      <c r="H5635" t="s">
        <v>1732</v>
      </c>
      <c r="I5635" t="s">
        <v>119</v>
      </c>
      <c r="J5635" t="s">
        <v>1733</v>
      </c>
      <c r="K5635" t="s">
        <v>20</v>
      </c>
      <c r="L5635" t="s">
        <v>12934</v>
      </c>
      <c r="M5635" s="3" t="str">
        <f>HYPERLINK("..\..\Imagery\ScannedPhotos\1993\CG93-562.jpg")</f>
        <v>..\..\Imagery\ScannedPhotos\1993\CG93-562.jpg</v>
      </c>
    </row>
    <row r="5636" spans="1:13" x14ac:dyDescent="0.25">
      <c r="A5636" t="s">
        <v>12935</v>
      </c>
      <c r="B5636">
        <v>473583</v>
      </c>
      <c r="C5636">
        <v>5802409</v>
      </c>
      <c r="D5636">
        <v>21</v>
      </c>
      <c r="E5636" t="s">
        <v>15</v>
      </c>
      <c r="F5636" t="s">
        <v>12936</v>
      </c>
      <c r="G5636">
        <v>3</v>
      </c>
      <c r="H5636" t="s">
        <v>5587</v>
      </c>
      <c r="I5636" t="s">
        <v>74</v>
      </c>
      <c r="J5636" t="s">
        <v>2341</v>
      </c>
      <c r="K5636" t="s">
        <v>56</v>
      </c>
      <c r="L5636" t="s">
        <v>12937</v>
      </c>
      <c r="M5636" s="3" t="str">
        <f>HYPERLINK("..\..\Imagery\ScannedPhotos\1992\VN92-105.1.jpg")</f>
        <v>..\..\Imagery\ScannedPhotos\1992\VN92-105.1.jpg</v>
      </c>
    </row>
    <row r="5637" spans="1:13" x14ac:dyDescent="0.25">
      <c r="A5637" t="s">
        <v>12935</v>
      </c>
      <c r="B5637">
        <v>473583</v>
      </c>
      <c r="C5637">
        <v>5802409</v>
      </c>
      <c r="D5637">
        <v>21</v>
      </c>
      <c r="E5637" t="s">
        <v>15</v>
      </c>
      <c r="F5637" t="s">
        <v>12938</v>
      </c>
      <c r="G5637">
        <v>3</v>
      </c>
      <c r="H5637" t="s">
        <v>5587</v>
      </c>
      <c r="I5637" t="s">
        <v>41</v>
      </c>
      <c r="J5637" t="s">
        <v>2341</v>
      </c>
      <c r="K5637" t="s">
        <v>56</v>
      </c>
      <c r="L5637" t="s">
        <v>12939</v>
      </c>
      <c r="M5637" s="3" t="str">
        <f>HYPERLINK("..\..\Imagery\ScannedPhotos\1992\VN92-105.2.jpg")</f>
        <v>..\..\Imagery\ScannedPhotos\1992\VN92-105.2.jpg</v>
      </c>
    </row>
    <row r="5638" spans="1:13" x14ac:dyDescent="0.25">
      <c r="A5638" t="s">
        <v>12935</v>
      </c>
      <c r="B5638">
        <v>473583</v>
      </c>
      <c r="C5638">
        <v>5802409</v>
      </c>
      <c r="D5638">
        <v>21</v>
      </c>
      <c r="E5638" t="s">
        <v>15</v>
      </c>
      <c r="F5638" t="s">
        <v>12940</v>
      </c>
      <c r="G5638">
        <v>3</v>
      </c>
      <c r="H5638" t="s">
        <v>5587</v>
      </c>
      <c r="I5638" t="s">
        <v>85</v>
      </c>
      <c r="J5638" t="s">
        <v>2341</v>
      </c>
      <c r="K5638" t="s">
        <v>20</v>
      </c>
      <c r="L5638" t="s">
        <v>356</v>
      </c>
      <c r="M5638" s="3" t="str">
        <f>HYPERLINK("..\..\Imagery\ScannedPhotos\1992\VN92-105.3.jpg")</f>
        <v>..\..\Imagery\ScannedPhotos\1992\VN92-105.3.jpg</v>
      </c>
    </row>
    <row r="5639" spans="1:13" x14ac:dyDescent="0.25">
      <c r="A5639" t="s">
        <v>11655</v>
      </c>
      <c r="B5639">
        <v>444013</v>
      </c>
      <c r="C5639">
        <v>5802980</v>
      </c>
      <c r="D5639">
        <v>21</v>
      </c>
      <c r="E5639" t="s">
        <v>15</v>
      </c>
      <c r="F5639" t="s">
        <v>12941</v>
      </c>
      <c r="G5639">
        <v>6</v>
      </c>
      <c r="H5639" t="s">
        <v>5587</v>
      </c>
      <c r="I5639" t="s">
        <v>386</v>
      </c>
      <c r="J5639" t="s">
        <v>2341</v>
      </c>
      <c r="K5639" t="s">
        <v>56</v>
      </c>
      <c r="L5639" t="s">
        <v>4940</v>
      </c>
      <c r="M5639" s="3" t="str">
        <f>HYPERLINK("..\..\Imagery\ScannedPhotos\1992\VN92-108.4.jpg")</f>
        <v>..\..\Imagery\ScannedPhotos\1992\VN92-108.4.jpg</v>
      </c>
    </row>
    <row r="5640" spans="1:13" x14ac:dyDescent="0.25">
      <c r="A5640" t="s">
        <v>11655</v>
      </c>
      <c r="B5640">
        <v>444013</v>
      </c>
      <c r="C5640">
        <v>5802980</v>
      </c>
      <c r="D5640">
        <v>21</v>
      </c>
      <c r="E5640" t="s">
        <v>15</v>
      </c>
      <c r="F5640" t="s">
        <v>12942</v>
      </c>
      <c r="G5640">
        <v>6</v>
      </c>
      <c r="H5640" t="s">
        <v>5587</v>
      </c>
      <c r="I5640" t="s">
        <v>375</v>
      </c>
      <c r="J5640" t="s">
        <v>2341</v>
      </c>
      <c r="K5640" t="s">
        <v>56</v>
      </c>
      <c r="L5640" t="s">
        <v>4940</v>
      </c>
      <c r="M5640" s="3" t="str">
        <f>HYPERLINK("..\..\Imagery\ScannedPhotos\1992\VN92-108.1.jpg")</f>
        <v>..\..\Imagery\ScannedPhotos\1992\VN92-108.1.jpg</v>
      </c>
    </row>
    <row r="5641" spans="1:13" x14ac:dyDescent="0.25">
      <c r="A5641" t="s">
        <v>3896</v>
      </c>
      <c r="B5641">
        <v>515859</v>
      </c>
      <c r="C5641">
        <v>5890443</v>
      </c>
      <c r="D5641">
        <v>21</v>
      </c>
      <c r="E5641" t="s">
        <v>15</v>
      </c>
      <c r="F5641" t="s">
        <v>12943</v>
      </c>
      <c r="G5641">
        <v>6</v>
      </c>
      <c r="H5641" t="s">
        <v>2459</v>
      </c>
      <c r="I5641" t="s">
        <v>65</v>
      </c>
      <c r="J5641" t="s">
        <v>2247</v>
      </c>
      <c r="K5641" t="s">
        <v>228</v>
      </c>
      <c r="L5641" t="s">
        <v>12944</v>
      </c>
      <c r="M5641" s="3" t="str">
        <f>HYPERLINK("..\..\Imagery\ScannedPhotos\1985\CG85-145.5.jpg")</f>
        <v>..\..\Imagery\ScannedPhotos\1985\CG85-145.5.jpg</v>
      </c>
    </row>
    <row r="5642" spans="1:13" x14ac:dyDescent="0.25">
      <c r="A5642" t="s">
        <v>11589</v>
      </c>
      <c r="B5642">
        <v>506352</v>
      </c>
      <c r="C5642">
        <v>5967492</v>
      </c>
      <c r="D5642">
        <v>21</v>
      </c>
      <c r="E5642" t="s">
        <v>15</v>
      </c>
      <c r="F5642" t="s">
        <v>12945</v>
      </c>
      <c r="G5642">
        <v>2</v>
      </c>
      <c r="H5642" t="s">
        <v>1197</v>
      </c>
      <c r="I5642" t="s">
        <v>69</v>
      </c>
      <c r="J5642" t="s">
        <v>48</v>
      </c>
      <c r="K5642" t="s">
        <v>20</v>
      </c>
      <c r="L5642" t="s">
        <v>11591</v>
      </c>
      <c r="M5642" s="3" t="str">
        <f>HYPERLINK("..\..\Imagery\ScannedPhotos\1981\CG81-744.2.jpg")</f>
        <v>..\..\Imagery\ScannedPhotos\1981\CG81-744.2.jpg</v>
      </c>
    </row>
    <row r="5643" spans="1:13" x14ac:dyDescent="0.25">
      <c r="A5643" t="s">
        <v>7297</v>
      </c>
      <c r="B5643">
        <v>471250</v>
      </c>
      <c r="C5643">
        <v>5866875</v>
      </c>
      <c r="D5643">
        <v>21</v>
      </c>
      <c r="E5643" t="s">
        <v>15</v>
      </c>
      <c r="F5643" t="s">
        <v>12946</v>
      </c>
      <c r="G5643">
        <v>5</v>
      </c>
      <c r="H5643" t="s">
        <v>1048</v>
      </c>
      <c r="I5643" t="s">
        <v>147</v>
      </c>
      <c r="J5643" t="s">
        <v>1038</v>
      </c>
      <c r="K5643" t="s">
        <v>20</v>
      </c>
      <c r="L5643" t="s">
        <v>12947</v>
      </c>
      <c r="M5643" s="3" t="str">
        <f>HYPERLINK("..\..\Imagery\ScannedPhotos\1991\DD91-111.4.jpg")</f>
        <v>..\..\Imagery\ScannedPhotos\1991\DD91-111.4.jpg</v>
      </c>
    </row>
    <row r="5644" spans="1:13" x14ac:dyDescent="0.25">
      <c r="A5644" t="s">
        <v>7297</v>
      </c>
      <c r="B5644">
        <v>471250</v>
      </c>
      <c r="C5644">
        <v>5866875</v>
      </c>
      <c r="D5644">
        <v>21</v>
      </c>
      <c r="E5644" t="s">
        <v>15</v>
      </c>
      <c r="F5644" t="s">
        <v>12948</v>
      </c>
      <c r="G5644">
        <v>5</v>
      </c>
      <c r="H5644" t="s">
        <v>1048</v>
      </c>
      <c r="I5644" t="s">
        <v>47</v>
      </c>
      <c r="J5644" t="s">
        <v>1038</v>
      </c>
      <c r="K5644" t="s">
        <v>20</v>
      </c>
      <c r="L5644" t="s">
        <v>12949</v>
      </c>
      <c r="M5644" s="3" t="str">
        <f>HYPERLINK("..\..\Imagery\ScannedPhotos\1991\DD91-111.5.jpg")</f>
        <v>..\..\Imagery\ScannedPhotos\1991\DD91-111.5.jpg</v>
      </c>
    </row>
    <row r="5645" spans="1:13" x14ac:dyDescent="0.25">
      <c r="A5645" t="s">
        <v>8594</v>
      </c>
      <c r="B5645">
        <v>332160</v>
      </c>
      <c r="C5645">
        <v>5771420</v>
      </c>
      <c r="D5645">
        <v>21</v>
      </c>
      <c r="E5645" t="s">
        <v>15</v>
      </c>
      <c r="F5645" t="s">
        <v>12950</v>
      </c>
      <c r="G5645">
        <v>11</v>
      </c>
      <c r="H5645" t="s">
        <v>3404</v>
      </c>
      <c r="I5645" t="s">
        <v>122</v>
      </c>
      <c r="J5645" t="s">
        <v>80</v>
      </c>
      <c r="K5645" t="s">
        <v>20</v>
      </c>
      <c r="L5645" t="s">
        <v>12951</v>
      </c>
      <c r="M5645" s="3" t="str">
        <f>HYPERLINK("..\..\Imagery\ScannedPhotos\2000\CG00-154.10.jpg")</f>
        <v>..\..\Imagery\ScannedPhotos\2000\CG00-154.10.jpg</v>
      </c>
    </row>
    <row r="5646" spans="1:13" x14ac:dyDescent="0.25">
      <c r="A5646" t="s">
        <v>8594</v>
      </c>
      <c r="B5646">
        <v>332160</v>
      </c>
      <c r="C5646">
        <v>5771420</v>
      </c>
      <c r="D5646">
        <v>21</v>
      </c>
      <c r="E5646" t="s">
        <v>15</v>
      </c>
      <c r="F5646" t="s">
        <v>12952</v>
      </c>
      <c r="G5646">
        <v>11</v>
      </c>
      <c r="H5646" t="s">
        <v>3404</v>
      </c>
      <c r="I5646" t="s">
        <v>126</v>
      </c>
      <c r="J5646" t="s">
        <v>80</v>
      </c>
      <c r="K5646" t="s">
        <v>20</v>
      </c>
      <c r="L5646" t="s">
        <v>12953</v>
      </c>
      <c r="M5646" s="3" t="str">
        <f>HYPERLINK("..\..\Imagery\ScannedPhotos\2000\CG00-154.11.jpg")</f>
        <v>..\..\Imagery\ScannedPhotos\2000\CG00-154.11.jpg</v>
      </c>
    </row>
    <row r="5647" spans="1:13" x14ac:dyDescent="0.25">
      <c r="A5647" t="s">
        <v>12954</v>
      </c>
      <c r="B5647">
        <v>542492</v>
      </c>
      <c r="C5647">
        <v>5958518</v>
      </c>
      <c r="D5647">
        <v>21</v>
      </c>
      <c r="E5647" t="s">
        <v>15</v>
      </c>
      <c r="F5647" t="s">
        <v>12955</v>
      </c>
      <c r="G5647">
        <v>1</v>
      </c>
      <c r="H5647" t="s">
        <v>221</v>
      </c>
      <c r="I5647" t="s">
        <v>18</v>
      </c>
      <c r="J5647" t="s">
        <v>48</v>
      </c>
      <c r="K5647" t="s">
        <v>20</v>
      </c>
      <c r="L5647" t="s">
        <v>733</v>
      </c>
      <c r="M5647" s="3" t="str">
        <f>HYPERLINK("..\..\Imagery\ScannedPhotos\1981\CG81-316.jpg")</f>
        <v>..\..\Imagery\ScannedPhotos\1981\CG81-316.jpg</v>
      </c>
    </row>
    <row r="5648" spans="1:13" x14ac:dyDescent="0.25">
      <c r="A5648" t="s">
        <v>1422</v>
      </c>
      <c r="B5648">
        <v>393245</v>
      </c>
      <c r="C5648">
        <v>5988458</v>
      </c>
      <c r="D5648">
        <v>21</v>
      </c>
      <c r="E5648" t="s">
        <v>15</v>
      </c>
      <c r="F5648" t="s">
        <v>12956</v>
      </c>
      <c r="G5648">
        <v>6</v>
      </c>
      <c r="H5648" t="s">
        <v>1424</v>
      </c>
      <c r="I5648" t="s">
        <v>35</v>
      </c>
      <c r="J5648" t="s">
        <v>623</v>
      </c>
      <c r="K5648" t="s">
        <v>56</v>
      </c>
      <c r="L5648" t="s">
        <v>3869</v>
      </c>
      <c r="M5648" s="3" t="str">
        <f>HYPERLINK("..\..\Imagery\ScannedPhotos\1980\NN80-123.4.jpg")</f>
        <v>..\..\Imagery\ScannedPhotos\1980\NN80-123.4.jpg</v>
      </c>
    </row>
    <row r="5649" spans="1:13" x14ac:dyDescent="0.25">
      <c r="A5649" t="s">
        <v>1422</v>
      </c>
      <c r="B5649">
        <v>393245</v>
      </c>
      <c r="C5649">
        <v>5988458</v>
      </c>
      <c r="D5649">
        <v>21</v>
      </c>
      <c r="E5649" t="s">
        <v>15</v>
      </c>
      <c r="F5649" t="s">
        <v>12957</v>
      </c>
      <c r="G5649">
        <v>6</v>
      </c>
      <c r="H5649" t="s">
        <v>1424</v>
      </c>
      <c r="I5649" t="s">
        <v>74</v>
      </c>
      <c r="J5649" t="s">
        <v>623</v>
      </c>
      <c r="K5649" t="s">
        <v>56</v>
      </c>
      <c r="L5649" t="s">
        <v>12958</v>
      </c>
      <c r="M5649" s="3" t="str">
        <f>HYPERLINK("..\..\Imagery\ScannedPhotos\1980\NN80-123.6.jpg")</f>
        <v>..\..\Imagery\ScannedPhotos\1980\NN80-123.6.jpg</v>
      </c>
    </row>
    <row r="5650" spans="1:13" x14ac:dyDescent="0.25">
      <c r="A5650" t="s">
        <v>12959</v>
      </c>
      <c r="B5650">
        <v>368904</v>
      </c>
      <c r="C5650">
        <v>5968281</v>
      </c>
      <c r="D5650">
        <v>21</v>
      </c>
      <c r="E5650" t="s">
        <v>15</v>
      </c>
      <c r="F5650" t="s">
        <v>12960</v>
      </c>
      <c r="G5650">
        <v>1</v>
      </c>
      <c r="H5650" t="s">
        <v>1424</v>
      </c>
      <c r="I5650" t="s">
        <v>418</v>
      </c>
      <c r="J5650" t="s">
        <v>623</v>
      </c>
      <c r="K5650" t="s">
        <v>56</v>
      </c>
      <c r="L5650" t="s">
        <v>12961</v>
      </c>
      <c r="M5650" s="3" t="str">
        <f>HYPERLINK("..\..\Imagery\ScannedPhotos\1980\NN80-129.jpg")</f>
        <v>..\..\Imagery\ScannedPhotos\1980\NN80-129.jpg</v>
      </c>
    </row>
    <row r="5651" spans="1:13" x14ac:dyDescent="0.25">
      <c r="A5651" t="s">
        <v>12962</v>
      </c>
      <c r="B5651">
        <v>373163</v>
      </c>
      <c r="C5651">
        <v>5969688</v>
      </c>
      <c r="D5651">
        <v>21</v>
      </c>
      <c r="E5651" t="s">
        <v>15</v>
      </c>
      <c r="F5651" t="s">
        <v>12963</v>
      </c>
      <c r="G5651">
        <v>1</v>
      </c>
      <c r="H5651" t="s">
        <v>1424</v>
      </c>
      <c r="I5651" t="s">
        <v>25</v>
      </c>
      <c r="J5651" t="s">
        <v>623</v>
      </c>
      <c r="K5651" t="s">
        <v>56</v>
      </c>
      <c r="L5651" t="s">
        <v>12964</v>
      </c>
      <c r="M5651" s="3" t="str">
        <f>HYPERLINK("..\..\Imagery\ScannedPhotos\1980\NN80-135.jpg")</f>
        <v>..\..\Imagery\ScannedPhotos\1980\NN80-135.jpg</v>
      </c>
    </row>
    <row r="5652" spans="1:13" x14ac:dyDescent="0.25">
      <c r="A5652" t="s">
        <v>12965</v>
      </c>
      <c r="B5652">
        <v>373670</v>
      </c>
      <c r="C5652">
        <v>5970417</v>
      </c>
      <c r="D5652">
        <v>21</v>
      </c>
      <c r="E5652" t="s">
        <v>15</v>
      </c>
      <c r="F5652" t="s">
        <v>12966</v>
      </c>
      <c r="G5652">
        <v>1</v>
      </c>
      <c r="H5652" t="s">
        <v>1424</v>
      </c>
      <c r="I5652" t="s">
        <v>647</v>
      </c>
      <c r="J5652" t="s">
        <v>623</v>
      </c>
      <c r="K5652" t="s">
        <v>20</v>
      </c>
      <c r="L5652" t="s">
        <v>12967</v>
      </c>
      <c r="M5652" s="3" t="str">
        <f>HYPERLINK("..\..\Imagery\ScannedPhotos\1980\NN80-137.jpg")</f>
        <v>..\..\Imagery\ScannedPhotos\1980\NN80-137.jpg</v>
      </c>
    </row>
    <row r="5653" spans="1:13" x14ac:dyDescent="0.25">
      <c r="A5653" t="s">
        <v>9811</v>
      </c>
      <c r="B5653">
        <v>468272</v>
      </c>
      <c r="C5653">
        <v>5903962</v>
      </c>
      <c r="D5653">
        <v>21</v>
      </c>
      <c r="E5653" t="s">
        <v>15</v>
      </c>
      <c r="F5653" t="s">
        <v>12968</v>
      </c>
      <c r="G5653">
        <v>6</v>
      </c>
      <c r="H5653" t="s">
        <v>2995</v>
      </c>
      <c r="I5653" t="s">
        <v>129</v>
      </c>
      <c r="J5653" t="s">
        <v>156</v>
      </c>
      <c r="K5653" t="s">
        <v>56</v>
      </c>
      <c r="L5653" t="s">
        <v>9813</v>
      </c>
      <c r="M5653" s="3" t="str">
        <f>HYPERLINK("..\..\Imagery\ScannedPhotos\1984\VN84-431.6.jpg")</f>
        <v>..\..\Imagery\ScannedPhotos\1984\VN84-431.6.jpg</v>
      </c>
    </row>
    <row r="5654" spans="1:13" x14ac:dyDescent="0.25">
      <c r="A5654" t="s">
        <v>9811</v>
      </c>
      <c r="B5654">
        <v>468272</v>
      </c>
      <c r="C5654">
        <v>5903962</v>
      </c>
      <c r="D5654">
        <v>21</v>
      </c>
      <c r="E5654" t="s">
        <v>15</v>
      </c>
      <c r="F5654" t="s">
        <v>12969</v>
      </c>
      <c r="G5654">
        <v>6</v>
      </c>
      <c r="H5654" t="s">
        <v>4524</v>
      </c>
      <c r="I5654" t="s">
        <v>209</v>
      </c>
      <c r="J5654" t="s">
        <v>3309</v>
      </c>
      <c r="K5654" t="s">
        <v>20</v>
      </c>
      <c r="L5654" t="s">
        <v>10887</v>
      </c>
      <c r="M5654" s="3" t="str">
        <f>HYPERLINK("..\..\Imagery\ScannedPhotos\1984\VN84-431.3.jpg")</f>
        <v>..\..\Imagery\ScannedPhotos\1984\VN84-431.3.jpg</v>
      </c>
    </row>
    <row r="5655" spans="1:13" x14ac:dyDescent="0.25">
      <c r="A5655" t="s">
        <v>1438</v>
      </c>
      <c r="B5655">
        <v>493485</v>
      </c>
      <c r="C5655">
        <v>5823779</v>
      </c>
      <c r="D5655">
        <v>21</v>
      </c>
      <c r="E5655" t="s">
        <v>15</v>
      </c>
      <c r="F5655" t="s">
        <v>12970</v>
      </c>
      <c r="G5655">
        <v>3</v>
      </c>
      <c r="H5655" t="s">
        <v>792</v>
      </c>
      <c r="I5655" t="s">
        <v>129</v>
      </c>
      <c r="J5655" t="s">
        <v>793</v>
      </c>
      <c r="K5655" t="s">
        <v>20</v>
      </c>
      <c r="L5655" t="s">
        <v>322</v>
      </c>
      <c r="M5655" s="3" t="str">
        <f>HYPERLINK("..\..\Imagery\ScannedPhotos\1991\VN91-358.2.jpg")</f>
        <v>..\..\Imagery\ScannedPhotos\1991\VN91-358.2.jpg</v>
      </c>
    </row>
    <row r="5656" spans="1:13" x14ac:dyDescent="0.25">
      <c r="A5656" t="s">
        <v>12971</v>
      </c>
      <c r="B5656">
        <v>489306</v>
      </c>
      <c r="C5656">
        <v>5827794</v>
      </c>
      <c r="D5656">
        <v>21</v>
      </c>
      <c r="E5656" t="s">
        <v>15</v>
      </c>
      <c r="F5656" t="s">
        <v>12972</v>
      </c>
      <c r="G5656">
        <v>3</v>
      </c>
      <c r="H5656" t="s">
        <v>792</v>
      </c>
      <c r="I5656" t="s">
        <v>47</v>
      </c>
      <c r="J5656" t="s">
        <v>793</v>
      </c>
      <c r="K5656" t="s">
        <v>20</v>
      </c>
      <c r="L5656" t="s">
        <v>12973</v>
      </c>
      <c r="M5656" s="3" t="str">
        <f>HYPERLINK("..\..\Imagery\ScannedPhotos\1991\VN91-366.1.jpg")</f>
        <v>..\..\Imagery\ScannedPhotos\1991\VN91-366.1.jpg</v>
      </c>
    </row>
    <row r="5657" spans="1:13" x14ac:dyDescent="0.25">
      <c r="A5657" t="s">
        <v>12971</v>
      </c>
      <c r="B5657">
        <v>489306</v>
      </c>
      <c r="C5657">
        <v>5827794</v>
      </c>
      <c r="D5657">
        <v>21</v>
      </c>
      <c r="E5657" t="s">
        <v>15</v>
      </c>
      <c r="F5657" t="s">
        <v>12974</v>
      </c>
      <c r="G5657">
        <v>3</v>
      </c>
      <c r="H5657" t="s">
        <v>792</v>
      </c>
      <c r="I5657" t="s">
        <v>65</v>
      </c>
      <c r="J5657" t="s">
        <v>793</v>
      </c>
      <c r="K5657" t="s">
        <v>20</v>
      </c>
      <c r="L5657" t="s">
        <v>12975</v>
      </c>
      <c r="M5657" s="3" t="str">
        <f>HYPERLINK("..\..\Imagery\ScannedPhotos\1991\VN91-366.3.jpg")</f>
        <v>..\..\Imagery\ScannedPhotos\1991\VN91-366.3.jpg</v>
      </c>
    </row>
    <row r="5658" spans="1:13" x14ac:dyDescent="0.25">
      <c r="A5658" t="s">
        <v>12971</v>
      </c>
      <c r="B5658">
        <v>489306</v>
      </c>
      <c r="C5658">
        <v>5827794</v>
      </c>
      <c r="D5658">
        <v>21</v>
      </c>
      <c r="E5658" t="s">
        <v>15</v>
      </c>
      <c r="F5658" t="s">
        <v>12976</v>
      </c>
      <c r="G5658">
        <v>3</v>
      </c>
      <c r="H5658" t="s">
        <v>792</v>
      </c>
      <c r="I5658" t="s">
        <v>52</v>
      </c>
      <c r="J5658" t="s">
        <v>793</v>
      </c>
      <c r="K5658" t="s">
        <v>20</v>
      </c>
      <c r="L5658" t="s">
        <v>12977</v>
      </c>
      <c r="M5658" s="3" t="str">
        <f>HYPERLINK("..\..\Imagery\ScannedPhotos\1991\VN91-366.2.jpg")</f>
        <v>..\..\Imagery\ScannedPhotos\1991\VN91-366.2.jpg</v>
      </c>
    </row>
    <row r="5659" spans="1:13" x14ac:dyDescent="0.25">
      <c r="A5659" t="s">
        <v>12978</v>
      </c>
      <c r="B5659">
        <v>576654</v>
      </c>
      <c r="C5659">
        <v>5800666</v>
      </c>
      <c r="D5659">
        <v>21</v>
      </c>
      <c r="E5659" t="s">
        <v>15</v>
      </c>
      <c r="F5659" t="s">
        <v>12979</v>
      </c>
      <c r="G5659">
        <v>2</v>
      </c>
      <c r="H5659" t="s">
        <v>3016</v>
      </c>
      <c r="I5659" t="s">
        <v>418</v>
      </c>
      <c r="J5659" t="s">
        <v>1651</v>
      </c>
      <c r="K5659" t="s">
        <v>20</v>
      </c>
      <c r="L5659" t="s">
        <v>7290</v>
      </c>
      <c r="M5659" s="3" t="str">
        <f>HYPERLINK("..\..\Imagery\ScannedPhotos\1987\XX87-051.1.jpg")</f>
        <v>..\..\Imagery\ScannedPhotos\1987\XX87-051.1.jpg</v>
      </c>
    </row>
    <row r="5660" spans="1:13" x14ac:dyDescent="0.25">
      <c r="A5660" t="s">
        <v>10682</v>
      </c>
      <c r="B5660">
        <v>587489</v>
      </c>
      <c r="C5660">
        <v>5770384</v>
      </c>
      <c r="D5660">
        <v>21</v>
      </c>
      <c r="E5660" t="s">
        <v>15</v>
      </c>
      <c r="F5660" t="s">
        <v>12980</v>
      </c>
      <c r="G5660">
        <v>9</v>
      </c>
      <c r="H5660" t="s">
        <v>1513</v>
      </c>
      <c r="I5660" t="s">
        <v>69</v>
      </c>
      <c r="J5660" t="s">
        <v>1514</v>
      </c>
      <c r="K5660" t="s">
        <v>20</v>
      </c>
      <c r="L5660" t="s">
        <v>12981</v>
      </c>
      <c r="M5660" s="3" t="str">
        <f>HYPERLINK("..\..\Imagery\ScannedPhotos\1992\VO92-024.8.jpg")</f>
        <v>..\..\Imagery\ScannedPhotos\1992\VO92-024.8.jpg</v>
      </c>
    </row>
    <row r="5661" spans="1:13" x14ac:dyDescent="0.25">
      <c r="A5661" t="s">
        <v>12982</v>
      </c>
      <c r="B5661">
        <v>539761</v>
      </c>
      <c r="C5661">
        <v>5732746</v>
      </c>
      <c r="D5661">
        <v>21</v>
      </c>
      <c r="E5661" t="s">
        <v>15</v>
      </c>
      <c r="F5661" t="s">
        <v>12983</v>
      </c>
      <c r="G5661">
        <v>1</v>
      </c>
      <c r="K5661" t="s">
        <v>228</v>
      </c>
      <c r="L5661" t="s">
        <v>12984</v>
      </c>
      <c r="M5661" s="3" t="str">
        <f>HYPERLINK("..\..\Imagery\ScannedPhotos\2003\CG03-001.jpg")</f>
        <v>..\..\Imagery\ScannedPhotos\2003\CG03-001.jpg</v>
      </c>
    </row>
    <row r="5662" spans="1:13" x14ac:dyDescent="0.25">
      <c r="A5662" t="s">
        <v>12985</v>
      </c>
      <c r="B5662">
        <v>540190</v>
      </c>
      <c r="C5662">
        <v>5733636</v>
      </c>
      <c r="D5662">
        <v>21</v>
      </c>
      <c r="E5662" t="s">
        <v>15</v>
      </c>
      <c r="F5662" t="s">
        <v>12986</v>
      </c>
      <c r="G5662">
        <v>1</v>
      </c>
      <c r="K5662" t="s">
        <v>56</v>
      </c>
      <c r="L5662" t="s">
        <v>12987</v>
      </c>
      <c r="M5662" s="3" t="str">
        <f>HYPERLINK("..\..\Imagery\ScannedPhotos\2003\CG03-003.jpg")</f>
        <v>..\..\Imagery\ScannedPhotos\2003\CG03-003.jpg</v>
      </c>
    </row>
    <row r="5663" spans="1:13" x14ac:dyDescent="0.25">
      <c r="A5663" t="s">
        <v>12988</v>
      </c>
      <c r="B5663">
        <v>540235</v>
      </c>
      <c r="C5663">
        <v>5734184</v>
      </c>
      <c r="D5663">
        <v>21</v>
      </c>
      <c r="E5663" t="s">
        <v>15</v>
      </c>
      <c r="F5663" t="s">
        <v>12989</v>
      </c>
      <c r="G5663">
        <v>1</v>
      </c>
      <c r="K5663" t="s">
        <v>56</v>
      </c>
      <c r="L5663" t="s">
        <v>12990</v>
      </c>
      <c r="M5663" s="3" t="str">
        <f>HYPERLINK("..\..\Imagery\ScannedPhotos\2003\CG03-004.jpg")</f>
        <v>..\..\Imagery\ScannedPhotos\2003\CG03-004.jpg</v>
      </c>
    </row>
    <row r="5664" spans="1:13" x14ac:dyDescent="0.25">
      <c r="A5664" t="s">
        <v>12991</v>
      </c>
      <c r="B5664">
        <v>540276</v>
      </c>
      <c r="C5664">
        <v>5734534</v>
      </c>
      <c r="D5664">
        <v>21</v>
      </c>
      <c r="E5664" t="s">
        <v>15</v>
      </c>
      <c r="F5664" t="s">
        <v>12992</v>
      </c>
      <c r="G5664">
        <v>1</v>
      </c>
      <c r="K5664" t="s">
        <v>56</v>
      </c>
      <c r="L5664" t="s">
        <v>12993</v>
      </c>
      <c r="M5664" s="3" t="str">
        <f>HYPERLINK("..\..\Imagery\ScannedPhotos\2003\CG03-005.jpg")</f>
        <v>..\..\Imagery\ScannedPhotos\2003\CG03-005.jpg</v>
      </c>
    </row>
    <row r="5665" spans="1:13" x14ac:dyDescent="0.25">
      <c r="A5665" t="s">
        <v>12994</v>
      </c>
      <c r="B5665">
        <v>494888</v>
      </c>
      <c r="C5665">
        <v>5826378</v>
      </c>
      <c r="D5665">
        <v>21</v>
      </c>
      <c r="E5665" t="s">
        <v>15</v>
      </c>
      <c r="F5665" t="s">
        <v>12995</v>
      </c>
      <c r="G5665">
        <v>1</v>
      </c>
      <c r="H5665" t="s">
        <v>792</v>
      </c>
      <c r="I5665" t="s">
        <v>74</v>
      </c>
      <c r="J5665" t="s">
        <v>793</v>
      </c>
      <c r="K5665" t="s">
        <v>56</v>
      </c>
      <c r="L5665" t="s">
        <v>12996</v>
      </c>
      <c r="M5665" s="3" t="str">
        <f>HYPERLINK("..\..\Imagery\ScannedPhotos\1991\VN91-294.jpg")</f>
        <v>..\..\Imagery\ScannedPhotos\1991\VN91-294.jpg</v>
      </c>
    </row>
    <row r="5666" spans="1:13" x14ac:dyDescent="0.25">
      <c r="A5666" t="s">
        <v>12997</v>
      </c>
      <c r="B5666">
        <v>495137</v>
      </c>
      <c r="C5666">
        <v>5826870</v>
      </c>
      <c r="D5666">
        <v>21</v>
      </c>
      <c r="E5666" t="s">
        <v>15</v>
      </c>
      <c r="F5666" t="s">
        <v>12998</v>
      </c>
      <c r="G5666">
        <v>1</v>
      </c>
      <c r="H5666" t="s">
        <v>792</v>
      </c>
      <c r="I5666" t="s">
        <v>41</v>
      </c>
      <c r="J5666" t="s">
        <v>793</v>
      </c>
      <c r="K5666" t="s">
        <v>20</v>
      </c>
      <c r="L5666" t="s">
        <v>12999</v>
      </c>
      <c r="M5666" s="3" t="str">
        <f>HYPERLINK("..\..\Imagery\ScannedPhotos\1991\VN91-295.jpg")</f>
        <v>..\..\Imagery\ScannedPhotos\1991\VN91-295.jpg</v>
      </c>
    </row>
    <row r="5667" spans="1:13" x14ac:dyDescent="0.25">
      <c r="A5667" t="s">
        <v>13000</v>
      </c>
      <c r="B5667">
        <v>495548</v>
      </c>
      <c r="C5667">
        <v>5826948</v>
      </c>
      <c r="D5667">
        <v>21</v>
      </c>
      <c r="E5667" t="s">
        <v>15</v>
      </c>
      <c r="F5667" t="s">
        <v>13001</v>
      </c>
      <c r="G5667">
        <v>1</v>
      </c>
      <c r="H5667" t="s">
        <v>792</v>
      </c>
      <c r="I5667" t="s">
        <v>85</v>
      </c>
      <c r="J5667" t="s">
        <v>793</v>
      </c>
      <c r="K5667" t="s">
        <v>20</v>
      </c>
      <c r="L5667" t="s">
        <v>6643</v>
      </c>
      <c r="M5667" s="3" t="str">
        <f>HYPERLINK("..\..\Imagery\ScannedPhotos\1991\VN91-296.jpg")</f>
        <v>..\..\Imagery\ScannedPhotos\1991\VN91-296.jpg</v>
      </c>
    </row>
    <row r="5668" spans="1:13" x14ac:dyDescent="0.25">
      <c r="A5668" t="s">
        <v>13002</v>
      </c>
      <c r="B5668">
        <v>495763</v>
      </c>
      <c r="C5668">
        <v>5826202</v>
      </c>
      <c r="D5668">
        <v>21</v>
      </c>
      <c r="E5668" t="s">
        <v>15</v>
      </c>
      <c r="F5668" t="s">
        <v>13003</v>
      </c>
      <c r="G5668">
        <v>1</v>
      </c>
      <c r="H5668" t="s">
        <v>792</v>
      </c>
      <c r="I5668" t="s">
        <v>375</v>
      </c>
      <c r="J5668" t="s">
        <v>793</v>
      </c>
      <c r="K5668" t="s">
        <v>20</v>
      </c>
      <c r="L5668" t="s">
        <v>3647</v>
      </c>
      <c r="M5668" s="3" t="str">
        <f>HYPERLINK("..\..\Imagery\ScannedPhotos\1991\VN91-298.jpg")</f>
        <v>..\..\Imagery\ScannedPhotos\1991\VN91-298.jpg</v>
      </c>
    </row>
    <row r="5669" spans="1:13" x14ac:dyDescent="0.25">
      <c r="A5669" t="s">
        <v>7429</v>
      </c>
      <c r="B5669">
        <v>451170</v>
      </c>
      <c r="C5669">
        <v>5773107</v>
      </c>
      <c r="D5669">
        <v>21</v>
      </c>
      <c r="E5669" t="s">
        <v>15</v>
      </c>
      <c r="F5669" t="s">
        <v>13004</v>
      </c>
      <c r="G5669">
        <v>3</v>
      </c>
      <c r="H5669" t="s">
        <v>4076</v>
      </c>
      <c r="I5669" t="s">
        <v>137</v>
      </c>
      <c r="J5669" t="s">
        <v>905</v>
      </c>
      <c r="K5669" t="s">
        <v>20</v>
      </c>
      <c r="L5669" t="s">
        <v>13005</v>
      </c>
      <c r="M5669" s="3" t="str">
        <f>HYPERLINK("..\..\Imagery\ScannedPhotos\1992\VN92-160.2.jpg")</f>
        <v>..\..\Imagery\ScannedPhotos\1992\VN92-160.2.jpg</v>
      </c>
    </row>
    <row r="5670" spans="1:13" x14ac:dyDescent="0.25">
      <c r="A5670" t="s">
        <v>10218</v>
      </c>
      <c r="B5670">
        <v>376913</v>
      </c>
      <c r="C5670">
        <v>6083368</v>
      </c>
      <c r="D5670">
        <v>21</v>
      </c>
      <c r="E5670" t="s">
        <v>15</v>
      </c>
      <c r="F5670" t="s">
        <v>13006</v>
      </c>
      <c r="G5670">
        <v>2</v>
      </c>
      <c r="H5670" t="s">
        <v>1623</v>
      </c>
      <c r="I5670" t="s">
        <v>143</v>
      </c>
      <c r="J5670" t="s">
        <v>1624</v>
      </c>
      <c r="K5670" t="s">
        <v>56</v>
      </c>
      <c r="L5670" t="s">
        <v>10220</v>
      </c>
      <c r="M5670" s="3" t="str">
        <f>HYPERLINK("..\..\Imagery\ScannedPhotos\1978\AL78-090.2.jpg")</f>
        <v>..\..\Imagery\ScannedPhotos\1978\AL78-090.2.jpg</v>
      </c>
    </row>
    <row r="5671" spans="1:13" x14ac:dyDescent="0.25">
      <c r="A5671" t="s">
        <v>13007</v>
      </c>
      <c r="B5671">
        <v>376255</v>
      </c>
      <c r="C5671">
        <v>6077891</v>
      </c>
      <c r="D5671">
        <v>21</v>
      </c>
      <c r="E5671" t="s">
        <v>15</v>
      </c>
      <c r="F5671" t="s">
        <v>13008</v>
      </c>
      <c r="G5671">
        <v>1</v>
      </c>
      <c r="H5671" t="s">
        <v>1623</v>
      </c>
      <c r="I5671" t="s">
        <v>147</v>
      </c>
      <c r="J5671" t="s">
        <v>1624</v>
      </c>
      <c r="K5671" t="s">
        <v>56</v>
      </c>
      <c r="L5671" t="s">
        <v>13009</v>
      </c>
      <c r="M5671" s="3" t="str">
        <f>HYPERLINK("..\..\Imagery\ScannedPhotos\1978\AL78-130.jpg")</f>
        <v>..\..\Imagery\ScannedPhotos\1978\AL78-130.jpg</v>
      </c>
    </row>
    <row r="5672" spans="1:13" x14ac:dyDescent="0.25">
      <c r="A5672" t="s">
        <v>13010</v>
      </c>
      <c r="B5672">
        <v>378245</v>
      </c>
      <c r="C5672">
        <v>6077541</v>
      </c>
      <c r="D5672">
        <v>21</v>
      </c>
      <c r="E5672" t="s">
        <v>15</v>
      </c>
      <c r="F5672" t="s">
        <v>13011</v>
      </c>
      <c r="G5672">
        <v>1</v>
      </c>
      <c r="H5672" t="s">
        <v>4136</v>
      </c>
      <c r="I5672" t="s">
        <v>386</v>
      </c>
      <c r="J5672" t="s">
        <v>423</v>
      </c>
      <c r="K5672" t="s">
        <v>228</v>
      </c>
      <c r="L5672" t="s">
        <v>13012</v>
      </c>
      <c r="M5672" s="3" t="str">
        <f>HYPERLINK("..\..\Imagery\ScannedPhotos\1978\AL78-132.3.jpg")</f>
        <v>..\..\Imagery\ScannedPhotos\1978\AL78-132.3.jpg</v>
      </c>
    </row>
    <row r="5673" spans="1:13" x14ac:dyDescent="0.25">
      <c r="A5673" t="s">
        <v>13010</v>
      </c>
      <c r="B5673">
        <v>378245</v>
      </c>
      <c r="C5673">
        <v>6077541</v>
      </c>
      <c r="D5673">
        <v>21</v>
      </c>
      <c r="E5673" t="s">
        <v>15</v>
      </c>
      <c r="F5673" t="s">
        <v>13013</v>
      </c>
      <c r="G5673">
        <v>2</v>
      </c>
      <c r="H5673" t="s">
        <v>1623</v>
      </c>
      <c r="I5673" t="s">
        <v>47</v>
      </c>
      <c r="J5673" t="s">
        <v>1624</v>
      </c>
      <c r="K5673" t="s">
        <v>20</v>
      </c>
      <c r="L5673" t="s">
        <v>13014</v>
      </c>
      <c r="M5673" s="3" t="str">
        <f>HYPERLINK("..\..\Imagery\ScannedPhotos\1978\AL78-132.1.jpg")</f>
        <v>..\..\Imagery\ScannedPhotos\1978\AL78-132.1.jpg</v>
      </c>
    </row>
    <row r="5674" spans="1:13" x14ac:dyDescent="0.25">
      <c r="A5674" t="s">
        <v>13010</v>
      </c>
      <c r="B5674">
        <v>378245</v>
      </c>
      <c r="C5674">
        <v>6077541</v>
      </c>
      <c r="D5674">
        <v>21</v>
      </c>
      <c r="E5674" t="s">
        <v>15</v>
      </c>
      <c r="F5674" t="s">
        <v>13015</v>
      </c>
      <c r="G5674">
        <v>2</v>
      </c>
      <c r="H5674" t="s">
        <v>1623</v>
      </c>
      <c r="I5674" t="s">
        <v>52</v>
      </c>
      <c r="J5674" t="s">
        <v>1624</v>
      </c>
      <c r="K5674" t="s">
        <v>56</v>
      </c>
      <c r="L5674" t="s">
        <v>13016</v>
      </c>
      <c r="M5674" s="3" t="str">
        <f>HYPERLINK("..\..\Imagery\ScannedPhotos\1978\AL78-132.2.jpg")</f>
        <v>..\..\Imagery\ScannedPhotos\1978\AL78-132.2.jpg</v>
      </c>
    </row>
    <row r="5675" spans="1:13" x14ac:dyDescent="0.25">
      <c r="A5675" t="s">
        <v>13017</v>
      </c>
      <c r="B5675">
        <v>377468</v>
      </c>
      <c r="C5675">
        <v>6080079</v>
      </c>
      <c r="D5675">
        <v>21</v>
      </c>
      <c r="E5675" t="s">
        <v>15</v>
      </c>
      <c r="F5675" t="s">
        <v>13018</v>
      </c>
      <c r="G5675">
        <v>1</v>
      </c>
      <c r="H5675" t="s">
        <v>2011</v>
      </c>
      <c r="I5675" t="s">
        <v>18</v>
      </c>
      <c r="J5675" t="s">
        <v>1624</v>
      </c>
      <c r="K5675" t="s">
        <v>20</v>
      </c>
      <c r="L5675" t="s">
        <v>13019</v>
      </c>
      <c r="M5675" s="3" t="str">
        <f>HYPERLINK("..\..\Imagery\ScannedPhotos\1978\AL78-134.jpg")</f>
        <v>..\..\Imagery\ScannedPhotos\1978\AL78-134.jpg</v>
      </c>
    </row>
    <row r="5676" spans="1:13" x14ac:dyDescent="0.25">
      <c r="A5676" t="s">
        <v>7872</v>
      </c>
      <c r="B5676">
        <v>377998</v>
      </c>
      <c r="C5676">
        <v>6080382</v>
      </c>
      <c r="D5676">
        <v>21</v>
      </c>
      <c r="E5676" t="s">
        <v>15</v>
      </c>
      <c r="F5676" t="s">
        <v>13020</v>
      </c>
      <c r="G5676">
        <v>2</v>
      </c>
      <c r="H5676" t="s">
        <v>2011</v>
      </c>
      <c r="I5676" t="s">
        <v>69</v>
      </c>
      <c r="J5676" t="s">
        <v>1624</v>
      </c>
      <c r="K5676" t="s">
        <v>20</v>
      </c>
      <c r="L5676" t="s">
        <v>13021</v>
      </c>
      <c r="M5676" s="3" t="str">
        <f>HYPERLINK("..\..\Imagery\ScannedPhotos\1978\AL78-135.2.jpg")</f>
        <v>..\..\Imagery\ScannedPhotos\1978\AL78-135.2.jpg</v>
      </c>
    </row>
    <row r="5677" spans="1:13" x14ac:dyDescent="0.25">
      <c r="A5677" t="s">
        <v>13022</v>
      </c>
      <c r="B5677">
        <v>340558</v>
      </c>
      <c r="C5677">
        <v>5837006</v>
      </c>
      <c r="D5677">
        <v>21</v>
      </c>
      <c r="E5677" t="s">
        <v>15</v>
      </c>
      <c r="F5677" t="s">
        <v>13023</v>
      </c>
      <c r="G5677">
        <v>1</v>
      </c>
      <c r="H5677" t="s">
        <v>259</v>
      </c>
      <c r="I5677" t="s">
        <v>126</v>
      </c>
      <c r="J5677" t="s">
        <v>260</v>
      </c>
      <c r="K5677" t="s">
        <v>56</v>
      </c>
      <c r="L5677" t="s">
        <v>13024</v>
      </c>
      <c r="M5677" s="3" t="str">
        <f>HYPERLINK("..\..\Imagery\ScannedPhotos\1998\CG98-126.jpg")</f>
        <v>..\..\Imagery\ScannedPhotos\1998\CG98-126.jpg</v>
      </c>
    </row>
    <row r="5678" spans="1:13" x14ac:dyDescent="0.25">
      <c r="A5678" t="s">
        <v>12229</v>
      </c>
      <c r="B5678">
        <v>344444</v>
      </c>
      <c r="C5678">
        <v>5836488</v>
      </c>
      <c r="D5678">
        <v>21</v>
      </c>
      <c r="E5678" t="s">
        <v>15</v>
      </c>
      <c r="F5678" t="s">
        <v>13025</v>
      </c>
      <c r="G5678">
        <v>4</v>
      </c>
      <c r="H5678" t="s">
        <v>5833</v>
      </c>
      <c r="I5678" t="s">
        <v>401</v>
      </c>
      <c r="J5678" t="s">
        <v>260</v>
      </c>
      <c r="K5678" t="s">
        <v>20</v>
      </c>
      <c r="L5678" t="s">
        <v>13026</v>
      </c>
      <c r="M5678" s="3" t="str">
        <f>HYPERLINK("..\..\Imagery\ScannedPhotos\1998\CG98-128.4.jpg")</f>
        <v>..\..\Imagery\ScannedPhotos\1998\CG98-128.4.jpg</v>
      </c>
    </row>
    <row r="5679" spans="1:13" x14ac:dyDescent="0.25">
      <c r="A5679" t="s">
        <v>12978</v>
      </c>
      <c r="B5679">
        <v>576654</v>
      </c>
      <c r="C5679">
        <v>5800666</v>
      </c>
      <c r="D5679">
        <v>21</v>
      </c>
      <c r="E5679" t="s">
        <v>15</v>
      </c>
      <c r="F5679" t="s">
        <v>13027</v>
      </c>
      <c r="G5679">
        <v>2</v>
      </c>
      <c r="H5679" t="s">
        <v>3016</v>
      </c>
      <c r="I5679" t="s">
        <v>304</v>
      </c>
      <c r="J5679" t="s">
        <v>1651</v>
      </c>
      <c r="K5679" t="s">
        <v>20</v>
      </c>
      <c r="L5679" t="s">
        <v>867</v>
      </c>
      <c r="M5679" s="3" t="str">
        <f>HYPERLINK("..\..\Imagery\ScannedPhotos\1987\XX87-051.2.jpg")</f>
        <v>..\..\Imagery\ScannedPhotos\1987\XX87-051.2.jpg</v>
      </c>
    </row>
    <row r="5680" spans="1:13" x14ac:dyDescent="0.25">
      <c r="A5680" t="s">
        <v>13028</v>
      </c>
      <c r="B5680">
        <v>545110</v>
      </c>
      <c r="C5680">
        <v>5942194</v>
      </c>
      <c r="D5680">
        <v>21</v>
      </c>
      <c r="E5680" t="s">
        <v>15</v>
      </c>
      <c r="F5680" t="s">
        <v>13029</v>
      </c>
      <c r="G5680">
        <v>1</v>
      </c>
      <c r="H5680" t="s">
        <v>824</v>
      </c>
      <c r="I5680" t="s">
        <v>304</v>
      </c>
      <c r="J5680" t="s">
        <v>48</v>
      </c>
      <c r="K5680" t="s">
        <v>20</v>
      </c>
      <c r="L5680" t="s">
        <v>13030</v>
      </c>
      <c r="M5680" s="3" t="str">
        <f>HYPERLINK("..\..\Imagery\ScannedPhotos\1981\VO81-659.jpg")</f>
        <v>..\..\Imagery\ScannedPhotos\1981\VO81-659.jpg</v>
      </c>
    </row>
    <row r="5681" spans="1:14" x14ac:dyDescent="0.25">
      <c r="A5681" t="s">
        <v>9454</v>
      </c>
      <c r="B5681">
        <v>493236</v>
      </c>
      <c r="C5681">
        <v>5895931</v>
      </c>
      <c r="D5681">
        <v>21</v>
      </c>
      <c r="E5681" t="s">
        <v>15</v>
      </c>
      <c r="F5681" t="s">
        <v>13031</v>
      </c>
      <c r="G5681">
        <v>2</v>
      </c>
      <c r="H5681" t="s">
        <v>2912</v>
      </c>
      <c r="I5681" t="s">
        <v>195</v>
      </c>
      <c r="J5681" t="s">
        <v>2913</v>
      </c>
      <c r="K5681" t="s">
        <v>20</v>
      </c>
      <c r="L5681" t="s">
        <v>9456</v>
      </c>
      <c r="M5681" s="3" t="str">
        <f>HYPERLINK("..\..\Imagery\ScannedPhotos\1984\VN84-192.2.jpg")</f>
        <v>..\..\Imagery\ScannedPhotos\1984\VN84-192.2.jpg</v>
      </c>
    </row>
    <row r="5682" spans="1:14" x14ac:dyDescent="0.25">
      <c r="A5682" t="s">
        <v>13032</v>
      </c>
      <c r="B5682">
        <v>492502</v>
      </c>
      <c r="C5682">
        <v>5883453</v>
      </c>
      <c r="D5682">
        <v>21</v>
      </c>
      <c r="E5682" t="s">
        <v>15</v>
      </c>
      <c r="F5682" t="s">
        <v>13033</v>
      </c>
      <c r="G5682">
        <v>1</v>
      </c>
      <c r="H5682" t="s">
        <v>2912</v>
      </c>
      <c r="I5682" t="s">
        <v>647</v>
      </c>
      <c r="J5682" t="s">
        <v>2913</v>
      </c>
      <c r="K5682" t="s">
        <v>20</v>
      </c>
      <c r="L5682" t="s">
        <v>13034</v>
      </c>
      <c r="M5682" s="3" t="str">
        <f>HYPERLINK("..\..\Imagery\ScannedPhotos\1984\VN84-213.jpg")</f>
        <v>..\..\Imagery\ScannedPhotos\1984\VN84-213.jpg</v>
      </c>
    </row>
    <row r="5683" spans="1:14" x14ac:dyDescent="0.25">
      <c r="A5683" t="s">
        <v>13035</v>
      </c>
      <c r="B5683">
        <v>509213</v>
      </c>
      <c r="C5683">
        <v>5745516</v>
      </c>
      <c r="D5683">
        <v>21</v>
      </c>
      <c r="E5683" t="s">
        <v>15</v>
      </c>
      <c r="F5683" t="s">
        <v>13036</v>
      </c>
      <c r="G5683">
        <v>1</v>
      </c>
      <c r="H5683" t="s">
        <v>1732</v>
      </c>
      <c r="I5683" t="s">
        <v>85</v>
      </c>
      <c r="J5683" t="s">
        <v>1733</v>
      </c>
      <c r="K5683" t="s">
        <v>56</v>
      </c>
      <c r="L5683" t="s">
        <v>9504</v>
      </c>
      <c r="M5683" s="3" t="str">
        <f>HYPERLINK("..\..\Imagery\ScannedPhotos\1993\CG93-493.jpg")</f>
        <v>..\..\Imagery\ScannedPhotos\1993\CG93-493.jpg</v>
      </c>
    </row>
    <row r="5684" spans="1:14" x14ac:dyDescent="0.25">
      <c r="A5684" t="s">
        <v>10343</v>
      </c>
      <c r="B5684">
        <v>471304</v>
      </c>
      <c r="C5684">
        <v>6004532</v>
      </c>
      <c r="D5684">
        <v>21</v>
      </c>
      <c r="E5684" t="s">
        <v>15</v>
      </c>
      <c r="F5684" t="s">
        <v>13037</v>
      </c>
      <c r="G5684">
        <v>2</v>
      </c>
      <c r="H5684" t="s">
        <v>1326</v>
      </c>
      <c r="I5684" t="s">
        <v>222</v>
      </c>
      <c r="J5684" t="s">
        <v>95</v>
      </c>
      <c r="K5684" t="s">
        <v>20</v>
      </c>
      <c r="L5684" t="s">
        <v>13038</v>
      </c>
      <c r="M5684" s="3" t="str">
        <f>HYPERLINK("..\..\Imagery\ScannedPhotos\1980\CG80-349.2.jpg")</f>
        <v>..\..\Imagery\ScannedPhotos\1980\CG80-349.2.jpg</v>
      </c>
    </row>
    <row r="5685" spans="1:14" x14ac:dyDescent="0.25">
      <c r="A5685" t="s">
        <v>9275</v>
      </c>
      <c r="B5685">
        <v>471470</v>
      </c>
      <c r="C5685">
        <v>6004481</v>
      </c>
      <c r="D5685">
        <v>21</v>
      </c>
      <c r="E5685" t="s">
        <v>15</v>
      </c>
      <c r="F5685" t="s">
        <v>13039</v>
      </c>
      <c r="G5685">
        <v>14</v>
      </c>
      <c r="H5685" t="s">
        <v>5650</v>
      </c>
      <c r="I5685" t="s">
        <v>94</v>
      </c>
      <c r="J5685" t="s">
        <v>5651</v>
      </c>
      <c r="K5685" t="s">
        <v>20</v>
      </c>
      <c r="L5685" t="s">
        <v>13040</v>
      </c>
      <c r="M5685" s="3" t="str">
        <f>HYPERLINK("..\..\Imagery\ScannedPhotos\1980\CG80-350.12.jpg")</f>
        <v>..\..\Imagery\ScannedPhotos\1980\CG80-350.12.jpg</v>
      </c>
    </row>
    <row r="5686" spans="1:14" x14ac:dyDescent="0.25">
      <c r="A5686" t="s">
        <v>13041</v>
      </c>
      <c r="B5686">
        <v>342353</v>
      </c>
      <c r="C5686">
        <v>5794910</v>
      </c>
      <c r="D5686">
        <v>21</v>
      </c>
      <c r="E5686" t="s">
        <v>15</v>
      </c>
      <c r="F5686" t="s">
        <v>13042</v>
      </c>
      <c r="G5686">
        <v>1</v>
      </c>
      <c r="H5686" t="s">
        <v>2236</v>
      </c>
      <c r="I5686" t="s">
        <v>386</v>
      </c>
      <c r="J5686" t="s">
        <v>80</v>
      </c>
      <c r="K5686" t="s">
        <v>20</v>
      </c>
      <c r="L5686" t="s">
        <v>2230</v>
      </c>
      <c r="M5686" s="3" t="str">
        <f>HYPERLINK("..\..\Imagery\ScannedPhotos\2000\CG00-251.jpg")</f>
        <v>..\..\Imagery\ScannedPhotos\2000\CG00-251.jpg</v>
      </c>
    </row>
    <row r="5687" spans="1:14" x14ac:dyDescent="0.25">
      <c r="A5687" t="s">
        <v>13043</v>
      </c>
      <c r="B5687">
        <v>337858</v>
      </c>
      <c r="C5687">
        <v>5809930</v>
      </c>
      <c r="D5687">
        <v>21</v>
      </c>
      <c r="E5687" t="s">
        <v>15</v>
      </c>
      <c r="F5687" t="s">
        <v>13044</v>
      </c>
      <c r="G5687">
        <v>1</v>
      </c>
      <c r="H5687" t="s">
        <v>3404</v>
      </c>
      <c r="I5687" t="s">
        <v>386</v>
      </c>
      <c r="J5687" t="s">
        <v>80</v>
      </c>
      <c r="K5687" t="s">
        <v>20</v>
      </c>
      <c r="L5687" t="s">
        <v>1020</v>
      </c>
      <c r="M5687" s="3" t="str">
        <f>HYPERLINK("..\..\Imagery\ScannedPhotos\2000\CG00-323.jpg")</f>
        <v>..\..\Imagery\ScannedPhotos\2000\CG00-323.jpg</v>
      </c>
    </row>
    <row r="5688" spans="1:14" x14ac:dyDescent="0.25">
      <c r="A5688" t="s">
        <v>13045</v>
      </c>
      <c r="B5688">
        <v>344800</v>
      </c>
      <c r="C5688">
        <v>5809475</v>
      </c>
      <c r="D5688">
        <v>21</v>
      </c>
      <c r="E5688" t="s">
        <v>15</v>
      </c>
      <c r="F5688" t="s">
        <v>13046</v>
      </c>
      <c r="G5688">
        <v>1</v>
      </c>
      <c r="H5688" t="s">
        <v>3404</v>
      </c>
      <c r="I5688" t="s">
        <v>217</v>
      </c>
      <c r="J5688" t="s">
        <v>80</v>
      </c>
      <c r="K5688" t="s">
        <v>20</v>
      </c>
      <c r="L5688" t="s">
        <v>1236</v>
      </c>
      <c r="M5688" s="3" t="str">
        <f>HYPERLINK("..\..\Imagery\ScannedPhotos\2000\CG00-328.jpg")</f>
        <v>..\..\Imagery\ScannedPhotos\2000\CG00-328.jpg</v>
      </c>
    </row>
    <row r="5689" spans="1:14" x14ac:dyDescent="0.25">
      <c r="A5689" t="s">
        <v>13047</v>
      </c>
      <c r="B5689">
        <v>346000</v>
      </c>
      <c r="C5689">
        <v>5806300</v>
      </c>
      <c r="D5689">
        <v>21</v>
      </c>
      <c r="E5689" t="s">
        <v>15</v>
      </c>
      <c r="F5689" t="s">
        <v>13048</v>
      </c>
      <c r="G5689">
        <v>1</v>
      </c>
      <c r="H5689" t="s">
        <v>3404</v>
      </c>
      <c r="I5689" t="s">
        <v>214</v>
      </c>
      <c r="J5689" t="s">
        <v>80</v>
      </c>
      <c r="K5689" t="s">
        <v>20</v>
      </c>
      <c r="L5689" t="s">
        <v>8660</v>
      </c>
      <c r="M5689" s="3" t="str">
        <f>HYPERLINK("..\..\Imagery\ScannedPhotos\2000\CG00-329.jpg")</f>
        <v>..\..\Imagery\ScannedPhotos\2000\CG00-329.jpg</v>
      </c>
    </row>
    <row r="5690" spans="1:14" x14ac:dyDescent="0.25">
      <c r="A5690" t="s">
        <v>13049</v>
      </c>
      <c r="B5690">
        <v>407438</v>
      </c>
      <c r="C5690">
        <v>6005442</v>
      </c>
      <c r="D5690">
        <v>21</v>
      </c>
      <c r="E5690" t="s">
        <v>15</v>
      </c>
      <c r="F5690" t="s">
        <v>13050</v>
      </c>
      <c r="G5690">
        <v>1</v>
      </c>
      <c r="H5690" t="s">
        <v>1006</v>
      </c>
      <c r="I5690" t="s">
        <v>126</v>
      </c>
      <c r="J5690" t="s">
        <v>652</v>
      </c>
      <c r="K5690" t="s">
        <v>20</v>
      </c>
      <c r="L5690" t="s">
        <v>13051</v>
      </c>
      <c r="M5690" s="3" t="str">
        <f>HYPERLINK("..\..\Imagery\ScannedPhotos\1980\CG80-075.jpg")</f>
        <v>..\..\Imagery\ScannedPhotos\1980\CG80-075.jpg</v>
      </c>
    </row>
    <row r="5691" spans="1:14" x14ac:dyDescent="0.25">
      <c r="A5691" t="s">
        <v>13052</v>
      </c>
      <c r="B5691">
        <v>565361</v>
      </c>
      <c r="C5691">
        <v>5925653</v>
      </c>
      <c r="D5691">
        <v>21</v>
      </c>
      <c r="E5691" t="s">
        <v>15</v>
      </c>
      <c r="F5691" t="s">
        <v>13053</v>
      </c>
      <c r="G5691">
        <v>3</v>
      </c>
      <c r="H5691" t="s">
        <v>1378</v>
      </c>
      <c r="I5691" t="s">
        <v>25</v>
      </c>
      <c r="J5691" t="s">
        <v>628</v>
      </c>
      <c r="K5691" t="s">
        <v>20</v>
      </c>
      <c r="L5691" t="s">
        <v>13054</v>
      </c>
      <c r="M5691" s="3" t="str">
        <f>HYPERLINK("..\..\Imagery\ScannedPhotos\1985\CG85-651.2.jpg")</f>
        <v>..\..\Imagery\ScannedPhotos\1985\CG85-651.2.jpg</v>
      </c>
    </row>
    <row r="5692" spans="1:14" x14ac:dyDescent="0.25">
      <c r="A5692" t="s">
        <v>13052</v>
      </c>
      <c r="B5692">
        <v>565361</v>
      </c>
      <c r="C5692">
        <v>5925653</v>
      </c>
      <c r="D5692">
        <v>21</v>
      </c>
      <c r="E5692" t="s">
        <v>15</v>
      </c>
      <c r="F5692" t="s">
        <v>13055</v>
      </c>
      <c r="G5692">
        <v>3</v>
      </c>
      <c r="H5692" t="s">
        <v>1378</v>
      </c>
      <c r="I5692" t="s">
        <v>195</v>
      </c>
      <c r="J5692" t="s">
        <v>628</v>
      </c>
      <c r="K5692" t="s">
        <v>20</v>
      </c>
      <c r="L5692" t="s">
        <v>13056</v>
      </c>
      <c r="M5692" s="3" t="str">
        <f>HYPERLINK("..\..\Imagery\ScannedPhotos\1985\CG85-651.1.jpg")</f>
        <v>..\..\Imagery\ScannedPhotos\1985\CG85-651.1.jpg</v>
      </c>
    </row>
    <row r="5693" spans="1:14" x14ac:dyDescent="0.25">
      <c r="A5693" t="s">
        <v>13052</v>
      </c>
      <c r="B5693">
        <v>565361</v>
      </c>
      <c r="C5693">
        <v>5925653</v>
      </c>
      <c r="D5693">
        <v>21</v>
      </c>
      <c r="E5693" t="s">
        <v>15</v>
      </c>
      <c r="F5693" t="s">
        <v>13057</v>
      </c>
      <c r="G5693">
        <v>3</v>
      </c>
      <c r="H5693" t="s">
        <v>1378</v>
      </c>
      <c r="I5693" t="s">
        <v>360</v>
      </c>
      <c r="J5693" t="s">
        <v>628</v>
      </c>
      <c r="K5693" t="s">
        <v>56</v>
      </c>
      <c r="L5693" t="s">
        <v>13058</v>
      </c>
      <c r="M5693" s="3" t="str">
        <f>HYPERLINK("..\..\Imagery\ScannedPhotos\1985\CG85-651.3.jpg")</f>
        <v>..\..\Imagery\ScannedPhotos\1985\CG85-651.3.jpg</v>
      </c>
    </row>
    <row r="5694" spans="1:14" x14ac:dyDescent="0.25">
      <c r="A5694" t="s">
        <v>2714</v>
      </c>
      <c r="B5694">
        <v>471518</v>
      </c>
      <c r="C5694">
        <v>5938237</v>
      </c>
      <c r="D5694">
        <v>21</v>
      </c>
      <c r="E5694" t="s">
        <v>15</v>
      </c>
      <c r="F5694" t="s">
        <v>13059</v>
      </c>
      <c r="G5694">
        <v>12</v>
      </c>
      <c r="H5694" t="s">
        <v>107</v>
      </c>
      <c r="I5694" t="s">
        <v>222</v>
      </c>
      <c r="J5694" t="s">
        <v>48</v>
      </c>
      <c r="K5694" t="s">
        <v>20</v>
      </c>
      <c r="L5694" t="s">
        <v>4822</v>
      </c>
      <c r="M5694" s="3" t="str">
        <f>HYPERLINK("..\..\Imagery\ScannedPhotos\1981\CG81-175.1cropped.jpg")</f>
        <v>..\..\Imagery\ScannedPhotos\1981\CG81-175.1cropped.jpg</v>
      </c>
      <c r="N5694" t="s">
        <v>4297</v>
      </c>
    </row>
    <row r="5695" spans="1:14" x14ac:dyDescent="0.25">
      <c r="A5695" t="s">
        <v>105</v>
      </c>
      <c r="B5695">
        <v>472086</v>
      </c>
      <c r="C5695">
        <v>5929461</v>
      </c>
      <c r="D5695">
        <v>21</v>
      </c>
      <c r="E5695" t="s">
        <v>15</v>
      </c>
      <c r="F5695" t="s">
        <v>13060</v>
      </c>
      <c r="G5695">
        <v>3</v>
      </c>
      <c r="H5695" t="s">
        <v>107</v>
      </c>
      <c r="I5695" t="s">
        <v>122</v>
      </c>
      <c r="J5695" t="s">
        <v>48</v>
      </c>
      <c r="K5695" t="s">
        <v>56</v>
      </c>
      <c r="L5695" t="s">
        <v>1020</v>
      </c>
      <c r="M5695" s="3" t="str">
        <f>HYPERLINK("..\..\Imagery\ScannedPhotos\1981\CG81-190.1cropped.jpg")</f>
        <v>..\..\Imagery\ScannedPhotos\1981\CG81-190.1cropped.jpg</v>
      </c>
      <c r="N5695" t="s">
        <v>4297</v>
      </c>
    </row>
    <row r="5696" spans="1:14" x14ac:dyDescent="0.25">
      <c r="A5696" t="s">
        <v>13061</v>
      </c>
      <c r="B5696">
        <v>468869</v>
      </c>
      <c r="C5696">
        <v>5940149</v>
      </c>
      <c r="D5696">
        <v>21</v>
      </c>
      <c r="E5696" t="s">
        <v>15</v>
      </c>
      <c r="F5696" t="s">
        <v>13062</v>
      </c>
      <c r="G5696">
        <v>1</v>
      </c>
      <c r="H5696" t="s">
        <v>1333</v>
      </c>
      <c r="I5696" t="s">
        <v>281</v>
      </c>
      <c r="J5696" t="s">
        <v>1334</v>
      </c>
      <c r="K5696" t="s">
        <v>20</v>
      </c>
      <c r="L5696" t="s">
        <v>4822</v>
      </c>
      <c r="M5696" s="3" t="str">
        <f>HYPERLINK("..\..\Imagery\ScannedPhotos\1981\CG81-279cropped.jpg")</f>
        <v>..\..\Imagery\ScannedPhotos\1981\CG81-279cropped.jpg</v>
      </c>
      <c r="N5696" t="s">
        <v>4297</v>
      </c>
    </row>
    <row r="5697" spans="1:14" x14ac:dyDescent="0.25">
      <c r="A5697" t="s">
        <v>1403</v>
      </c>
      <c r="B5697">
        <v>537298</v>
      </c>
      <c r="C5697">
        <v>5961593</v>
      </c>
      <c r="D5697">
        <v>21</v>
      </c>
      <c r="E5697" t="s">
        <v>15</v>
      </c>
      <c r="F5697" t="s">
        <v>13063</v>
      </c>
      <c r="G5697">
        <v>31</v>
      </c>
      <c r="H5697" t="s">
        <v>1405</v>
      </c>
      <c r="I5697" t="s">
        <v>360</v>
      </c>
      <c r="J5697" t="s">
        <v>48</v>
      </c>
      <c r="K5697" t="s">
        <v>20</v>
      </c>
      <c r="L5697" t="s">
        <v>2085</v>
      </c>
      <c r="M5697" s="3" t="str">
        <f>HYPERLINK("..\..\Imagery\ScannedPhotos\1981\CG81-306.2cropped.jpg")</f>
        <v>..\..\Imagery\ScannedPhotos\1981\CG81-306.2cropped.jpg</v>
      </c>
      <c r="N5697" t="s">
        <v>4297</v>
      </c>
    </row>
    <row r="5698" spans="1:14" x14ac:dyDescent="0.25">
      <c r="A5698" t="s">
        <v>1403</v>
      </c>
      <c r="B5698">
        <v>537298</v>
      </c>
      <c r="C5698">
        <v>5961593</v>
      </c>
      <c r="D5698">
        <v>21</v>
      </c>
      <c r="E5698" t="s">
        <v>15</v>
      </c>
      <c r="F5698" t="s">
        <v>13064</v>
      </c>
      <c r="G5698">
        <v>31</v>
      </c>
      <c r="H5698" t="s">
        <v>1405</v>
      </c>
      <c r="I5698" t="s">
        <v>647</v>
      </c>
      <c r="J5698" t="s">
        <v>48</v>
      </c>
      <c r="K5698" t="s">
        <v>20</v>
      </c>
      <c r="L5698" t="s">
        <v>13065</v>
      </c>
      <c r="M5698" s="3" t="str">
        <f>HYPERLINK("..\..\Imagery\ScannedPhotos\1981\CG81-306.3cropped.jpg")</f>
        <v>..\..\Imagery\ScannedPhotos\1981\CG81-306.3cropped.jpg</v>
      </c>
      <c r="N5698" t="s">
        <v>4297</v>
      </c>
    </row>
    <row r="5699" spans="1:14" x14ac:dyDescent="0.25">
      <c r="A5699" t="s">
        <v>1403</v>
      </c>
      <c r="B5699">
        <v>537298</v>
      </c>
      <c r="C5699">
        <v>5961593</v>
      </c>
      <c r="D5699">
        <v>21</v>
      </c>
      <c r="E5699" t="s">
        <v>15</v>
      </c>
      <c r="F5699" t="s">
        <v>13066</v>
      </c>
      <c r="G5699">
        <v>31</v>
      </c>
      <c r="H5699" t="s">
        <v>1480</v>
      </c>
      <c r="I5699" t="s">
        <v>69</v>
      </c>
      <c r="J5699" t="s">
        <v>48</v>
      </c>
      <c r="K5699" t="s">
        <v>20</v>
      </c>
      <c r="L5699" t="s">
        <v>1985</v>
      </c>
      <c r="M5699" s="3" t="str">
        <f>HYPERLINK("..\..\Imagery\ScannedPhotos\1981\CG81-306.25cropped.jpg")</f>
        <v>..\..\Imagery\ScannedPhotos\1981\CG81-306.25cropped.jpg</v>
      </c>
      <c r="N5699" t="s">
        <v>4297</v>
      </c>
    </row>
    <row r="5700" spans="1:14" x14ac:dyDescent="0.25">
      <c r="A5700" t="s">
        <v>1403</v>
      </c>
      <c r="B5700">
        <v>537298</v>
      </c>
      <c r="C5700">
        <v>5961593</v>
      </c>
      <c r="D5700">
        <v>21</v>
      </c>
      <c r="E5700" t="s">
        <v>15</v>
      </c>
      <c r="F5700" t="s">
        <v>13067</v>
      </c>
      <c r="G5700">
        <v>31</v>
      </c>
      <c r="H5700" t="s">
        <v>2246</v>
      </c>
      <c r="I5700" t="s">
        <v>35</v>
      </c>
      <c r="J5700" t="s">
        <v>2247</v>
      </c>
      <c r="K5700" t="s">
        <v>20</v>
      </c>
      <c r="L5700" t="s">
        <v>2077</v>
      </c>
      <c r="M5700" s="3" t="str">
        <f>HYPERLINK("..\..\Imagery\ScannedPhotos\1981\CG81-306.27cropped.jpg")</f>
        <v>..\..\Imagery\ScannedPhotos\1981\CG81-306.27cropped.jpg</v>
      </c>
      <c r="N5700" t="s">
        <v>4297</v>
      </c>
    </row>
    <row r="5701" spans="1:14" x14ac:dyDescent="0.25">
      <c r="A5701" t="s">
        <v>5220</v>
      </c>
      <c r="B5701">
        <v>543275</v>
      </c>
      <c r="C5701">
        <v>5958682</v>
      </c>
      <c r="D5701">
        <v>21</v>
      </c>
      <c r="E5701" t="s">
        <v>15</v>
      </c>
      <c r="F5701" t="s">
        <v>13068</v>
      </c>
      <c r="G5701">
        <v>2</v>
      </c>
      <c r="H5701" t="s">
        <v>221</v>
      </c>
      <c r="I5701" t="s">
        <v>69</v>
      </c>
      <c r="J5701" t="s">
        <v>48</v>
      </c>
      <c r="K5701" t="s">
        <v>20</v>
      </c>
      <c r="L5701" t="s">
        <v>733</v>
      </c>
      <c r="M5701" s="3" t="str">
        <f>HYPERLINK("..\..\Imagery\ScannedPhotos\1981\CG81-317.2cropped.jpg")</f>
        <v>..\..\Imagery\ScannedPhotos\1981\CG81-317.2cropped.jpg</v>
      </c>
      <c r="N5701" t="s">
        <v>4297</v>
      </c>
    </row>
    <row r="5702" spans="1:14" x14ac:dyDescent="0.25">
      <c r="A5702" t="s">
        <v>13069</v>
      </c>
      <c r="B5702">
        <v>537024</v>
      </c>
      <c r="C5702">
        <v>5958042</v>
      </c>
      <c r="D5702">
        <v>21</v>
      </c>
      <c r="E5702" t="s">
        <v>15</v>
      </c>
      <c r="F5702" t="s">
        <v>13070</v>
      </c>
      <c r="G5702">
        <v>2</v>
      </c>
      <c r="H5702" t="s">
        <v>221</v>
      </c>
      <c r="I5702" t="s">
        <v>375</v>
      </c>
      <c r="J5702" t="s">
        <v>13071</v>
      </c>
      <c r="K5702" t="s">
        <v>935</v>
      </c>
      <c r="L5702" t="s">
        <v>13072</v>
      </c>
      <c r="M5702" s="3" t="str">
        <f>HYPERLINK("..\..\Imagery\ScannedPhotos\1981\CG81-336.1E.jpg")</f>
        <v>..\..\Imagery\ScannedPhotos\1981\CG81-336.1E.jpg</v>
      </c>
      <c r="N5702" t="s">
        <v>1808</v>
      </c>
    </row>
    <row r="5703" spans="1:14" x14ac:dyDescent="0.25">
      <c r="A5703" t="s">
        <v>13069</v>
      </c>
      <c r="B5703">
        <v>537024</v>
      </c>
      <c r="C5703">
        <v>5958042</v>
      </c>
      <c r="D5703">
        <v>21</v>
      </c>
      <c r="E5703" t="s">
        <v>15</v>
      </c>
      <c r="F5703" t="s">
        <v>13073</v>
      </c>
      <c r="G5703">
        <v>2</v>
      </c>
      <c r="H5703" t="s">
        <v>221</v>
      </c>
      <c r="I5703" t="s">
        <v>94</v>
      </c>
      <c r="J5703" t="s">
        <v>13071</v>
      </c>
      <c r="K5703" t="s">
        <v>935</v>
      </c>
      <c r="L5703" t="s">
        <v>13072</v>
      </c>
      <c r="M5703" s="3" t="str">
        <f>HYPERLINK("..\..\Imagery\ScannedPhotos\1981\CG81-336.2E.jpg")</f>
        <v>..\..\Imagery\ScannedPhotos\1981\CG81-336.2E.jpg</v>
      </c>
      <c r="N5703" t="s">
        <v>1808</v>
      </c>
    </row>
    <row r="5704" spans="1:14" x14ac:dyDescent="0.25">
      <c r="A5704" t="s">
        <v>13074</v>
      </c>
      <c r="B5704">
        <v>528042</v>
      </c>
      <c r="C5704">
        <v>5949441</v>
      </c>
      <c r="D5704">
        <v>21</v>
      </c>
      <c r="E5704" t="s">
        <v>15</v>
      </c>
      <c r="F5704" t="s">
        <v>13075</v>
      </c>
      <c r="G5704">
        <v>1</v>
      </c>
      <c r="H5704" t="s">
        <v>221</v>
      </c>
      <c r="I5704" t="s">
        <v>143</v>
      </c>
      <c r="J5704" t="s">
        <v>48</v>
      </c>
      <c r="K5704" t="s">
        <v>20</v>
      </c>
      <c r="L5704" t="s">
        <v>13076</v>
      </c>
      <c r="M5704" s="3" t="str">
        <f>HYPERLINK("..\..\Imagery\ScannedPhotos\1981\CG81-384cropped.jpg")</f>
        <v>..\..\Imagery\ScannedPhotos\1981\CG81-384cropped.jpg</v>
      </c>
      <c r="N5704" t="s">
        <v>4297</v>
      </c>
    </row>
    <row r="5705" spans="1:14" x14ac:dyDescent="0.25">
      <c r="A5705" t="s">
        <v>6930</v>
      </c>
      <c r="B5705">
        <v>527372</v>
      </c>
      <c r="C5705">
        <v>5944530</v>
      </c>
      <c r="D5705">
        <v>21</v>
      </c>
      <c r="E5705" t="s">
        <v>15</v>
      </c>
      <c r="F5705" t="s">
        <v>13077</v>
      </c>
      <c r="G5705">
        <v>2</v>
      </c>
      <c r="H5705" t="s">
        <v>2733</v>
      </c>
      <c r="I5705" t="s">
        <v>647</v>
      </c>
      <c r="J5705" t="s">
        <v>814</v>
      </c>
      <c r="K5705" t="s">
        <v>20</v>
      </c>
      <c r="L5705" t="s">
        <v>4457</v>
      </c>
      <c r="M5705" s="3" t="str">
        <f>HYPERLINK("..\..\Imagery\ScannedPhotos\1981\CG81-429.2cropped.jpg")</f>
        <v>..\..\Imagery\ScannedPhotos\1981\CG81-429.2cropped.jpg</v>
      </c>
      <c r="N5705" t="s">
        <v>4297</v>
      </c>
    </row>
    <row r="5706" spans="1:14" x14ac:dyDescent="0.25">
      <c r="A5706" t="s">
        <v>13078</v>
      </c>
      <c r="B5706">
        <v>458010</v>
      </c>
      <c r="C5706">
        <v>5936979</v>
      </c>
      <c r="D5706">
        <v>21</v>
      </c>
      <c r="E5706" t="s">
        <v>15</v>
      </c>
      <c r="F5706" t="s">
        <v>13079</v>
      </c>
      <c r="G5706">
        <v>1</v>
      </c>
      <c r="H5706" t="s">
        <v>845</v>
      </c>
      <c r="I5706" t="s">
        <v>386</v>
      </c>
      <c r="J5706" t="s">
        <v>48</v>
      </c>
      <c r="K5706" t="s">
        <v>20</v>
      </c>
      <c r="L5706" t="s">
        <v>13080</v>
      </c>
      <c r="M5706" s="3" t="str">
        <f>HYPERLINK("..\..\Imagery\ScannedPhotos\1981\CG81-485cropped.jpg")</f>
        <v>..\..\Imagery\ScannedPhotos\1981\CG81-485cropped.jpg</v>
      </c>
      <c r="N5706" t="s">
        <v>4297</v>
      </c>
    </row>
    <row r="5707" spans="1:14" x14ac:dyDescent="0.25">
      <c r="A5707" t="s">
        <v>13081</v>
      </c>
      <c r="B5707">
        <v>530400</v>
      </c>
      <c r="C5707">
        <v>5983600</v>
      </c>
      <c r="D5707">
        <v>21</v>
      </c>
      <c r="E5707" t="s">
        <v>15</v>
      </c>
      <c r="F5707" t="s">
        <v>13082</v>
      </c>
      <c r="G5707">
        <v>1</v>
      </c>
      <c r="H5707" t="s">
        <v>1480</v>
      </c>
      <c r="I5707" t="s">
        <v>217</v>
      </c>
      <c r="J5707" t="s">
        <v>48</v>
      </c>
      <c r="K5707" t="s">
        <v>20</v>
      </c>
      <c r="L5707" t="s">
        <v>13083</v>
      </c>
      <c r="M5707" s="3" t="str">
        <f>HYPERLINK("..\..\Imagery\ScannedPhotos\1981\CG81-642E.jpg")</f>
        <v>..\..\Imagery\ScannedPhotos\1981\CG81-642E.jpg</v>
      </c>
      <c r="N5707" t="s">
        <v>1808</v>
      </c>
    </row>
    <row r="5708" spans="1:14" x14ac:dyDescent="0.25">
      <c r="A5708" t="s">
        <v>13084</v>
      </c>
      <c r="B5708">
        <v>421896</v>
      </c>
      <c r="C5708">
        <v>5965592</v>
      </c>
      <c r="D5708">
        <v>21</v>
      </c>
      <c r="E5708" t="s">
        <v>15</v>
      </c>
      <c r="F5708" t="s">
        <v>13085</v>
      </c>
      <c r="G5708">
        <v>1</v>
      </c>
      <c r="H5708" t="s">
        <v>1480</v>
      </c>
      <c r="I5708" t="s">
        <v>108</v>
      </c>
      <c r="J5708" t="s">
        <v>48</v>
      </c>
      <c r="K5708" t="s">
        <v>20</v>
      </c>
      <c r="L5708" t="s">
        <v>13086</v>
      </c>
      <c r="M5708" s="3" t="str">
        <f>HYPERLINK("..\..\Imagery\ScannedPhotos\1981\CG81-693cropped.jpg")</f>
        <v>..\..\Imagery\ScannedPhotos\1981\CG81-693cropped.jpg</v>
      </c>
      <c r="N5708" t="s">
        <v>4297</v>
      </c>
    </row>
    <row r="5709" spans="1:14" x14ac:dyDescent="0.25">
      <c r="A5709" t="s">
        <v>2865</v>
      </c>
      <c r="B5709">
        <v>503291</v>
      </c>
      <c r="C5709">
        <v>5968632</v>
      </c>
      <c r="D5709">
        <v>21</v>
      </c>
      <c r="E5709" t="s">
        <v>15</v>
      </c>
      <c r="F5709" t="s">
        <v>13087</v>
      </c>
      <c r="G5709">
        <v>3</v>
      </c>
      <c r="H5709" t="s">
        <v>1197</v>
      </c>
      <c r="I5709" t="s">
        <v>294</v>
      </c>
      <c r="J5709" t="s">
        <v>48</v>
      </c>
      <c r="K5709" t="s">
        <v>228</v>
      </c>
      <c r="L5709" t="s">
        <v>13088</v>
      </c>
      <c r="M5709" s="3" t="str">
        <f>HYPERLINK("..\..\Imagery\ScannedPhotos\1981\CG81-739.1E.jpg")</f>
        <v>..\..\Imagery\ScannedPhotos\1981\CG81-739.1E.jpg</v>
      </c>
      <c r="N5709" t="s">
        <v>1808</v>
      </c>
    </row>
    <row r="5710" spans="1:14" x14ac:dyDescent="0.25">
      <c r="A5710" t="s">
        <v>7407</v>
      </c>
      <c r="B5710">
        <v>382854</v>
      </c>
      <c r="C5710">
        <v>6103816</v>
      </c>
      <c r="D5710">
        <v>21</v>
      </c>
      <c r="E5710" t="s">
        <v>15</v>
      </c>
      <c r="F5710" t="s">
        <v>13089</v>
      </c>
      <c r="G5710">
        <v>2</v>
      </c>
      <c r="H5710" t="s">
        <v>208</v>
      </c>
      <c r="I5710" t="s">
        <v>195</v>
      </c>
      <c r="J5710" t="s">
        <v>210</v>
      </c>
      <c r="K5710" t="s">
        <v>20</v>
      </c>
      <c r="L5710" t="s">
        <v>13090</v>
      </c>
      <c r="M5710" s="3" t="str">
        <f>HYPERLINK("..\..\Imagery\ScannedPhotos\1979\AD79-091.1E.jpg")</f>
        <v>..\..\Imagery\ScannedPhotos\1979\AD79-091.1E.jpg</v>
      </c>
      <c r="N5710" t="s">
        <v>1808</v>
      </c>
    </row>
    <row r="5711" spans="1:14" x14ac:dyDescent="0.25">
      <c r="A5711" t="s">
        <v>7407</v>
      </c>
      <c r="B5711">
        <v>382854</v>
      </c>
      <c r="C5711">
        <v>6103816</v>
      </c>
      <c r="D5711">
        <v>21</v>
      </c>
      <c r="E5711" t="s">
        <v>15</v>
      </c>
      <c r="F5711" t="s">
        <v>13091</v>
      </c>
      <c r="G5711">
        <v>2</v>
      </c>
      <c r="H5711" t="s">
        <v>208</v>
      </c>
      <c r="I5711" t="s">
        <v>25</v>
      </c>
      <c r="J5711" t="s">
        <v>210</v>
      </c>
      <c r="K5711" t="s">
        <v>20</v>
      </c>
      <c r="L5711" t="s">
        <v>7409</v>
      </c>
      <c r="M5711" s="3" t="s">
        <v>14204</v>
      </c>
      <c r="N5711" t="s">
        <v>1808</v>
      </c>
    </row>
    <row r="5712" spans="1:14" x14ac:dyDescent="0.25">
      <c r="A5712" t="s">
        <v>13092</v>
      </c>
      <c r="B5712">
        <v>382288</v>
      </c>
      <c r="C5712">
        <v>6095543</v>
      </c>
      <c r="D5712">
        <v>21</v>
      </c>
      <c r="E5712" t="s">
        <v>15</v>
      </c>
      <c r="F5712" t="s">
        <v>13093</v>
      </c>
      <c r="G5712">
        <v>1</v>
      </c>
      <c r="H5712" t="s">
        <v>208</v>
      </c>
      <c r="I5712" t="s">
        <v>47</v>
      </c>
      <c r="J5712" t="s">
        <v>210</v>
      </c>
      <c r="K5712" t="s">
        <v>20</v>
      </c>
      <c r="L5712" t="s">
        <v>13094</v>
      </c>
      <c r="M5712" s="3" t="str">
        <f>HYPERLINK("..\..\Imagery\ScannedPhotos\1979\AD79-125E.jpg")</f>
        <v>..\..\Imagery\ScannedPhotos\1979\AD79-125E.jpg</v>
      </c>
      <c r="N5712" t="s">
        <v>1808</v>
      </c>
    </row>
    <row r="5713" spans="1:14" x14ac:dyDescent="0.25">
      <c r="A5713" t="s">
        <v>13095</v>
      </c>
      <c r="B5713">
        <v>381291</v>
      </c>
      <c r="C5713">
        <v>6092828</v>
      </c>
      <c r="D5713">
        <v>21</v>
      </c>
      <c r="E5713" t="s">
        <v>15</v>
      </c>
      <c r="F5713" t="s">
        <v>13096</v>
      </c>
      <c r="G5713">
        <v>1</v>
      </c>
      <c r="H5713" t="s">
        <v>208</v>
      </c>
      <c r="I5713" t="s">
        <v>401</v>
      </c>
      <c r="J5713" t="s">
        <v>210</v>
      </c>
      <c r="K5713" t="s">
        <v>20</v>
      </c>
      <c r="L5713" t="s">
        <v>13097</v>
      </c>
      <c r="M5713" s="3" t="str">
        <f>HYPERLINK("..\..\Imagery\ScannedPhotos\1979\AD79-129cropped.jpg")</f>
        <v>..\..\Imagery\ScannedPhotos\1979\AD79-129cropped.jpg</v>
      </c>
      <c r="N5713" t="s">
        <v>4297</v>
      </c>
    </row>
    <row r="5714" spans="1:14" x14ac:dyDescent="0.25">
      <c r="A5714" t="s">
        <v>13098</v>
      </c>
      <c r="B5714">
        <v>395360</v>
      </c>
      <c r="C5714">
        <v>6102350</v>
      </c>
      <c r="D5714">
        <v>21</v>
      </c>
      <c r="E5714" t="s">
        <v>15</v>
      </c>
      <c r="F5714" t="s">
        <v>13099</v>
      </c>
      <c r="G5714">
        <v>1</v>
      </c>
      <c r="H5714" t="s">
        <v>4048</v>
      </c>
      <c r="I5714" t="s">
        <v>126</v>
      </c>
      <c r="J5714" t="s">
        <v>355</v>
      </c>
      <c r="K5714" t="s">
        <v>20</v>
      </c>
      <c r="L5714" t="s">
        <v>13100</v>
      </c>
      <c r="M5714" s="3" t="str">
        <f>HYPERLINK("..\..\Imagery\ScannedPhotos\1979\AD79-183E.jpg")</f>
        <v>..\..\Imagery\ScannedPhotos\1979\AD79-183E.jpg</v>
      </c>
      <c r="N5714" t="s">
        <v>1808</v>
      </c>
    </row>
    <row r="5715" spans="1:14" x14ac:dyDescent="0.25">
      <c r="A5715" t="s">
        <v>13101</v>
      </c>
      <c r="B5715">
        <v>483100</v>
      </c>
      <c r="C5715">
        <v>6040893</v>
      </c>
      <c r="D5715">
        <v>21</v>
      </c>
      <c r="E5715" t="s">
        <v>15</v>
      </c>
      <c r="F5715" t="s">
        <v>13102</v>
      </c>
      <c r="G5715">
        <v>1</v>
      </c>
      <c r="H5715" t="s">
        <v>422</v>
      </c>
      <c r="I5715" t="s">
        <v>47</v>
      </c>
      <c r="J5715" t="s">
        <v>423</v>
      </c>
      <c r="K5715" t="s">
        <v>20</v>
      </c>
      <c r="L5715" t="s">
        <v>13103</v>
      </c>
      <c r="M5715" s="3" t="str">
        <f>HYPERLINK("..\..\Imagery\ScannedPhotos\1979\AD79-207E.jpg")</f>
        <v>..\..\Imagery\ScannedPhotos\1979\AD79-207E.jpg</v>
      </c>
      <c r="N5715" t="s">
        <v>1808</v>
      </c>
    </row>
    <row r="5716" spans="1:14" x14ac:dyDescent="0.25">
      <c r="A5716" t="s">
        <v>425</v>
      </c>
      <c r="B5716">
        <v>477592</v>
      </c>
      <c r="C5716">
        <v>6046051</v>
      </c>
      <c r="D5716">
        <v>21</v>
      </c>
      <c r="E5716" t="s">
        <v>15</v>
      </c>
      <c r="F5716" t="s">
        <v>13104</v>
      </c>
      <c r="G5716">
        <v>5</v>
      </c>
      <c r="H5716" t="s">
        <v>427</v>
      </c>
      <c r="I5716" t="s">
        <v>41</v>
      </c>
      <c r="J5716" t="s">
        <v>428</v>
      </c>
      <c r="K5716" t="s">
        <v>20</v>
      </c>
      <c r="L5716" t="s">
        <v>13105</v>
      </c>
      <c r="M5716" s="3" t="str">
        <f>HYPERLINK("..\..\Imagery\ScannedPhotos\1979\AD79-219.5E.jpg")</f>
        <v>..\..\Imagery\ScannedPhotos\1979\AD79-219.5E.jpg</v>
      </c>
      <c r="N5716" t="s">
        <v>1808</v>
      </c>
    </row>
    <row r="5717" spans="1:14" x14ac:dyDescent="0.25">
      <c r="A5717" t="s">
        <v>1896</v>
      </c>
      <c r="B5717">
        <v>419465</v>
      </c>
      <c r="C5717">
        <v>6057323</v>
      </c>
      <c r="D5717">
        <v>21</v>
      </c>
      <c r="E5717" t="s">
        <v>15</v>
      </c>
      <c r="F5717" t="s">
        <v>13106</v>
      </c>
      <c r="G5717">
        <v>2</v>
      </c>
      <c r="H5717" t="s">
        <v>682</v>
      </c>
      <c r="I5717" t="s">
        <v>30</v>
      </c>
      <c r="J5717" t="s">
        <v>683</v>
      </c>
      <c r="K5717" t="s">
        <v>20</v>
      </c>
      <c r="L5717" t="s">
        <v>1898</v>
      </c>
      <c r="M5717" s="3" t="str">
        <f>HYPERLINK("..\..\Imagery\ScannedPhotos\1979\AD79-261.1cropped.jpg")</f>
        <v>..\..\Imagery\ScannedPhotos\1979\AD79-261.1cropped.jpg</v>
      </c>
      <c r="N5717" t="s">
        <v>4297</v>
      </c>
    </row>
    <row r="5718" spans="1:14" x14ac:dyDescent="0.25">
      <c r="A5718" t="s">
        <v>13107</v>
      </c>
      <c r="B5718">
        <v>425184</v>
      </c>
      <c r="C5718">
        <v>6056954</v>
      </c>
      <c r="D5718">
        <v>21</v>
      </c>
      <c r="E5718" t="s">
        <v>15</v>
      </c>
      <c r="F5718" t="s">
        <v>13108</v>
      </c>
      <c r="G5718">
        <v>1</v>
      </c>
      <c r="H5718" t="s">
        <v>690</v>
      </c>
      <c r="I5718" t="s">
        <v>85</v>
      </c>
      <c r="J5718" t="s">
        <v>691</v>
      </c>
      <c r="K5718" t="s">
        <v>56</v>
      </c>
      <c r="L5718" t="s">
        <v>13109</v>
      </c>
      <c r="M5718" s="3" t="str">
        <f>HYPERLINK("..\..\Imagery\ScannedPhotos\1979\AD79-304cropped.jpg")</f>
        <v>..\..\Imagery\ScannedPhotos\1979\AD79-304cropped.jpg</v>
      </c>
      <c r="N5718" t="s">
        <v>4297</v>
      </c>
    </row>
    <row r="5719" spans="1:14" x14ac:dyDescent="0.25">
      <c r="A5719" t="s">
        <v>13110</v>
      </c>
      <c r="B5719">
        <v>403480</v>
      </c>
      <c r="C5719">
        <v>6012855</v>
      </c>
      <c r="D5719">
        <v>21</v>
      </c>
      <c r="E5719" t="s">
        <v>15</v>
      </c>
      <c r="F5719" t="s">
        <v>13111</v>
      </c>
      <c r="G5719">
        <v>1</v>
      </c>
      <c r="H5719" t="s">
        <v>690</v>
      </c>
      <c r="I5719" t="s">
        <v>386</v>
      </c>
      <c r="J5719" t="s">
        <v>691</v>
      </c>
      <c r="K5719" t="s">
        <v>56</v>
      </c>
      <c r="L5719" t="s">
        <v>13112</v>
      </c>
      <c r="M5719" s="3" t="str">
        <f>HYPERLINK("..\..\Imagery\ScannedPhotos\1979\AD79-315cropped.jpg")</f>
        <v>..\..\Imagery\ScannedPhotos\1979\AD79-315cropped.jpg</v>
      </c>
      <c r="N5719" t="s">
        <v>4297</v>
      </c>
    </row>
    <row r="5720" spans="1:14" x14ac:dyDescent="0.25">
      <c r="A5720" t="s">
        <v>7875</v>
      </c>
      <c r="B5720">
        <v>404996</v>
      </c>
      <c r="C5720">
        <v>6070070</v>
      </c>
      <c r="D5720">
        <v>21</v>
      </c>
      <c r="E5720" t="s">
        <v>15</v>
      </c>
      <c r="F5720" t="s">
        <v>13113</v>
      </c>
      <c r="G5720">
        <v>7</v>
      </c>
      <c r="H5720" t="s">
        <v>1872</v>
      </c>
      <c r="I5720" t="s">
        <v>281</v>
      </c>
      <c r="J5720" t="s">
        <v>1873</v>
      </c>
      <c r="K5720" t="s">
        <v>20</v>
      </c>
      <c r="L5720" t="s">
        <v>13114</v>
      </c>
      <c r="M5720" s="3" t="str">
        <f>HYPERLINK("..\..\Imagery\ScannedPhotos\1979\CG79-001.2cropped.jpg")</f>
        <v>..\..\Imagery\ScannedPhotos\1979\CG79-001.2cropped.jpg</v>
      </c>
      <c r="N5720" t="s">
        <v>4297</v>
      </c>
    </row>
    <row r="5721" spans="1:14" x14ac:dyDescent="0.25">
      <c r="A5721" t="s">
        <v>7875</v>
      </c>
      <c r="B5721">
        <v>404996</v>
      </c>
      <c r="C5721">
        <v>6070070</v>
      </c>
      <c r="D5721">
        <v>21</v>
      </c>
      <c r="E5721" t="s">
        <v>15</v>
      </c>
      <c r="F5721" t="s">
        <v>13115</v>
      </c>
      <c r="G5721">
        <v>7</v>
      </c>
      <c r="H5721" t="s">
        <v>1872</v>
      </c>
      <c r="I5721" t="s">
        <v>35</v>
      </c>
      <c r="J5721" t="s">
        <v>1873</v>
      </c>
      <c r="K5721" t="s">
        <v>228</v>
      </c>
      <c r="L5721" t="s">
        <v>13116</v>
      </c>
      <c r="M5721" s="3" t="str">
        <f>HYPERLINK("..\..\Imagery\ScannedPhotos\1979\CG79-001.5E.jpg")</f>
        <v>..\..\Imagery\ScannedPhotos\1979\CG79-001.5E.jpg</v>
      </c>
      <c r="N5721" t="s">
        <v>1808</v>
      </c>
    </row>
    <row r="5722" spans="1:14" x14ac:dyDescent="0.25">
      <c r="A5722" t="s">
        <v>7875</v>
      </c>
      <c r="B5722">
        <v>404996</v>
      </c>
      <c r="C5722">
        <v>6070070</v>
      </c>
      <c r="D5722">
        <v>21</v>
      </c>
      <c r="E5722" t="s">
        <v>15</v>
      </c>
      <c r="F5722" t="s">
        <v>13117</v>
      </c>
      <c r="G5722">
        <v>7</v>
      </c>
      <c r="H5722" t="s">
        <v>4136</v>
      </c>
      <c r="I5722" t="s">
        <v>304</v>
      </c>
      <c r="J5722" t="s">
        <v>423</v>
      </c>
      <c r="K5722" t="s">
        <v>228</v>
      </c>
      <c r="L5722" t="s">
        <v>13118</v>
      </c>
      <c r="M5722" s="3" t="str">
        <f>HYPERLINK("..\..\Imagery\ScannedPhotos\1979\CG79-001.7E.jpg")</f>
        <v>..\..\Imagery\ScannedPhotos\1979\CG79-001.7E.jpg</v>
      </c>
      <c r="N5722" t="s">
        <v>1808</v>
      </c>
    </row>
    <row r="5723" spans="1:14" x14ac:dyDescent="0.25">
      <c r="A5723" t="s">
        <v>7883</v>
      </c>
      <c r="B5723">
        <v>401229</v>
      </c>
      <c r="C5723">
        <v>6072412</v>
      </c>
      <c r="D5723">
        <v>21</v>
      </c>
      <c r="E5723" t="s">
        <v>15</v>
      </c>
      <c r="F5723" t="s">
        <v>13119</v>
      </c>
      <c r="G5723">
        <v>3</v>
      </c>
      <c r="H5723" t="s">
        <v>1872</v>
      </c>
      <c r="I5723" t="s">
        <v>74</v>
      </c>
      <c r="J5723" t="s">
        <v>1873</v>
      </c>
      <c r="K5723" t="s">
        <v>228</v>
      </c>
      <c r="L5723" t="s">
        <v>13120</v>
      </c>
      <c r="M5723" s="3" t="str">
        <f>HYPERLINK("..\..\Imagery\ScannedPhotos\1979\CG79-002.1E.jpg")</f>
        <v>..\..\Imagery\ScannedPhotos\1979\CG79-002.1E.jpg</v>
      </c>
      <c r="N5723" t="s">
        <v>1808</v>
      </c>
    </row>
    <row r="5724" spans="1:14" x14ac:dyDescent="0.25">
      <c r="A5724" t="s">
        <v>8504</v>
      </c>
      <c r="B5724">
        <v>402195</v>
      </c>
      <c r="C5724">
        <v>6073796</v>
      </c>
      <c r="D5724">
        <v>21</v>
      </c>
      <c r="E5724" t="s">
        <v>15</v>
      </c>
      <c r="F5724" t="s">
        <v>13121</v>
      </c>
      <c r="G5724">
        <v>3</v>
      </c>
      <c r="H5724" t="s">
        <v>1872</v>
      </c>
      <c r="I5724" t="s">
        <v>386</v>
      </c>
      <c r="J5724" t="s">
        <v>1873</v>
      </c>
      <c r="K5724" t="s">
        <v>228</v>
      </c>
      <c r="L5724" t="s">
        <v>13122</v>
      </c>
      <c r="M5724" s="3" t="str">
        <f>HYPERLINK("..\..\Imagery\ScannedPhotos\1979\CG79-005.2E.jpg")</f>
        <v>..\..\Imagery\ScannedPhotos\1979\CG79-005.2E.jpg</v>
      </c>
      <c r="N5724" t="s">
        <v>1808</v>
      </c>
    </row>
    <row r="5725" spans="1:14" x14ac:dyDescent="0.25">
      <c r="A5725" t="s">
        <v>9146</v>
      </c>
      <c r="B5725">
        <v>430833</v>
      </c>
      <c r="C5725">
        <v>5813722</v>
      </c>
      <c r="D5725">
        <v>21</v>
      </c>
      <c r="E5725" t="s">
        <v>15</v>
      </c>
      <c r="F5725" t="s">
        <v>13123</v>
      </c>
      <c r="G5725">
        <v>10</v>
      </c>
      <c r="H5725" t="s">
        <v>656</v>
      </c>
      <c r="I5725" t="s">
        <v>126</v>
      </c>
      <c r="J5725" t="s">
        <v>657</v>
      </c>
      <c r="K5725" t="s">
        <v>228</v>
      </c>
      <c r="L5725" t="s">
        <v>13124</v>
      </c>
      <c r="M5725" s="3" t="str">
        <f>HYPERLINK("..\..\Imagery\ScannedPhotos\1999\CG99-014.7E.jpg")</f>
        <v>..\..\Imagery\ScannedPhotos\1999\CG99-014.7E.jpg</v>
      </c>
      <c r="N5725" t="s">
        <v>1808</v>
      </c>
    </row>
    <row r="5726" spans="1:14" x14ac:dyDescent="0.25">
      <c r="A5726" t="s">
        <v>9146</v>
      </c>
      <c r="B5726">
        <v>430833</v>
      </c>
      <c r="C5726">
        <v>5813722</v>
      </c>
      <c r="D5726">
        <v>21</v>
      </c>
      <c r="E5726" t="s">
        <v>15</v>
      </c>
      <c r="F5726" t="s">
        <v>13125</v>
      </c>
      <c r="G5726">
        <v>10</v>
      </c>
      <c r="H5726" t="s">
        <v>656</v>
      </c>
      <c r="I5726" t="s">
        <v>132</v>
      </c>
      <c r="J5726" t="s">
        <v>657</v>
      </c>
      <c r="K5726" t="s">
        <v>228</v>
      </c>
      <c r="L5726" t="s">
        <v>13126</v>
      </c>
      <c r="M5726" s="3" t="str">
        <f>HYPERLINK("..\..\Imagery\ScannedPhotos\1999\CG99-014.8E.jpg")</f>
        <v>..\..\Imagery\ScannedPhotos\1999\CG99-014.8E.jpg</v>
      </c>
      <c r="N5726" t="s">
        <v>1808</v>
      </c>
    </row>
    <row r="5727" spans="1:14" x14ac:dyDescent="0.25">
      <c r="A5727" t="s">
        <v>9146</v>
      </c>
      <c r="B5727">
        <v>430833</v>
      </c>
      <c r="C5727">
        <v>5813722</v>
      </c>
      <c r="D5727">
        <v>21</v>
      </c>
      <c r="E5727" t="s">
        <v>15</v>
      </c>
      <c r="F5727" t="s">
        <v>13127</v>
      </c>
      <c r="G5727">
        <v>10</v>
      </c>
      <c r="H5727" t="s">
        <v>656</v>
      </c>
      <c r="I5727" t="s">
        <v>129</v>
      </c>
      <c r="J5727" t="s">
        <v>657</v>
      </c>
      <c r="K5727" t="s">
        <v>228</v>
      </c>
      <c r="L5727" t="s">
        <v>13128</v>
      </c>
      <c r="M5727" s="3" t="str">
        <f>HYPERLINK("..\..\Imagery\ScannedPhotos\1999\CG99-014.9E.jpg")</f>
        <v>..\..\Imagery\ScannedPhotos\1999\CG99-014.9E.jpg</v>
      </c>
      <c r="N5727" t="s">
        <v>1808</v>
      </c>
    </row>
    <row r="5728" spans="1:14" x14ac:dyDescent="0.25">
      <c r="A5728" t="s">
        <v>9146</v>
      </c>
      <c r="B5728">
        <v>430833</v>
      </c>
      <c r="C5728">
        <v>5813722</v>
      </c>
      <c r="D5728">
        <v>21</v>
      </c>
      <c r="E5728" t="s">
        <v>15</v>
      </c>
      <c r="F5728" t="s">
        <v>13129</v>
      </c>
      <c r="G5728">
        <v>10</v>
      </c>
      <c r="H5728" t="s">
        <v>656</v>
      </c>
      <c r="I5728" t="s">
        <v>143</v>
      </c>
      <c r="J5728" t="s">
        <v>657</v>
      </c>
      <c r="K5728" t="s">
        <v>228</v>
      </c>
      <c r="L5728" t="s">
        <v>13130</v>
      </c>
      <c r="M5728" s="3" t="str">
        <f>HYPERLINK("..\..\Imagery\ScannedPhotos\1999\CG99-014.10E.jpg")</f>
        <v>..\..\Imagery\ScannedPhotos\1999\CG99-014.10E.jpg</v>
      </c>
      <c r="N5728" t="s">
        <v>1808</v>
      </c>
    </row>
    <row r="5729" spans="1:14" x14ac:dyDescent="0.25">
      <c r="A5729" t="s">
        <v>13131</v>
      </c>
      <c r="B5729">
        <v>368758</v>
      </c>
      <c r="C5729">
        <v>5764770</v>
      </c>
      <c r="D5729">
        <v>21</v>
      </c>
      <c r="E5729" t="s">
        <v>15</v>
      </c>
      <c r="F5729" t="s">
        <v>13132</v>
      </c>
      <c r="G5729">
        <v>1</v>
      </c>
      <c r="H5729" t="s">
        <v>738</v>
      </c>
      <c r="I5729" t="s">
        <v>35</v>
      </c>
      <c r="J5729" t="s">
        <v>739</v>
      </c>
      <c r="K5729" t="s">
        <v>228</v>
      </c>
      <c r="L5729" t="s">
        <v>13133</v>
      </c>
      <c r="M5729" s="3" t="str">
        <f>HYPERLINK("..\..\Imagery\ScannedPhotos\1999\CG99-021E.jpg")</f>
        <v>..\..\Imagery\ScannedPhotos\1999\CG99-021E.jpg</v>
      </c>
      <c r="N5729" t="s">
        <v>1808</v>
      </c>
    </row>
    <row r="5730" spans="1:14" x14ac:dyDescent="0.25">
      <c r="A5730" t="s">
        <v>13134</v>
      </c>
      <c r="B5730">
        <v>418600</v>
      </c>
      <c r="C5730">
        <v>5800900</v>
      </c>
      <c r="D5730">
        <v>21</v>
      </c>
      <c r="E5730" t="s">
        <v>15</v>
      </c>
      <c r="F5730" t="s">
        <v>13135</v>
      </c>
      <c r="G5730">
        <v>1</v>
      </c>
      <c r="H5730" t="s">
        <v>738</v>
      </c>
      <c r="I5730" t="s">
        <v>114</v>
      </c>
      <c r="J5730" t="s">
        <v>739</v>
      </c>
      <c r="K5730" t="s">
        <v>228</v>
      </c>
      <c r="L5730" t="s">
        <v>13136</v>
      </c>
      <c r="M5730" s="3" t="str">
        <f>HYPERLINK("..\..\Imagery\ScannedPhotos\1999\CG99-058E.jpg")</f>
        <v>..\..\Imagery\ScannedPhotos\1999\CG99-058E.jpg</v>
      </c>
      <c r="N5730" t="s">
        <v>1808</v>
      </c>
    </row>
    <row r="5731" spans="1:14" x14ac:dyDescent="0.25">
      <c r="A5731" t="s">
        <v>1525</v>
      </c>
      <c r="B5731">
        <v>414155</v>
      </c>
      <c r="C5731">
        <v>5788452</v>
      </c>
      <c r="D5731">
        <v>21</v>
      </c>
      <c r="E5731" t="s">
        <v>15</v>
      </c>
      <c r="F5731" t="s">
        <v>13137</v>
      </c>
      <c r="G5731">
        <v>2</v>
      </c>
      <c r="H5731" t="s">
        <v>738</v>
      </c>
      <c r="I5731" t="s">
        <v>122</v>
      </c>
      <c r="J5731" t="s">
        <v>739</v>
      </c>
      <c r="K5731" t="s">
        <v>20</v>
      </c>
      <c r="L5731" t="s">
        <v>13138</v>
      </c>
      <c r="M5731" s="3" t="str">
        <f>HYPERLINK("..\..\Imagery\ScannedPhotos\1999\CG99-066.2E.jpg")</f>
        <v>..\..\Imagery\ScannedPhotos\1999\CG99-066.2E.jpg</v>
      </c>
      <c r="N5731" t="s">
        <v>1808</v>
      </c>
    </row>
    <row r="5732" spans="1:14" x14ac:dyDescent="0.25">
      <c r="A5732" t="s">
        <v>13139</v>
      </c>
      <c r="B5732">
        <v>419254</v>
      </c>
      <c r="C5732">
        <v>5763005</v>
      </c>
      <c r="D5732">
        <v>21</v>
      </c>
      <c r="E5732" t="s">
        <v>15</v>
      </c>
      <c r="F5732" t="s">
        <v>13140</v>
      </c>
      <c r="G5732">
        <v>1</v>
      </c>
      <c r="H5732" t="s">
        <v>738</v>
      </c>
      <c r="I5732" t="s">
        <v>126</v>
      </c>
      <c r="J5732" t="s">
        <v>739</v>
      </c>
      <c r="K5732" t="s">
        <v>228</v>
      </c>
      <c r="L5732" t="s">
        <v>13141</v>
      </c>
      <c r="M5732" s="3" t="str">
        <f>HYPERLINK("..\..\Imagery\ScannedPhotos\1999\CG99-071E.jpg")</f>
        <v>..\..\Imagery\ScannedPhotos\1999\CG99-071E.jpg</v>
      </c>
      <c r="N5732" t="s">
        <v>1808</v>
      </c>
    </row>
    <row r="5733" spans="1:14" x14ac:dyDescent="0.25">
      <c r="A5733" t="s">
        <v>13142</v>
      </c>
      <c r="B5733">
        <v>417770</v>
      </c>
      <c r="C5733">
        <v>5772520</v>
      </c>
      <c r="D5733">
        <v>21</v>
      </c>
      <c r="E5733" t="s">
        <v>15</v>
      </c>
      <c r="F5733" t="s">
        <v>13143</v>
      </c>
      <c r="G5733">
        <v>3</v>
      </c>
      <c r="H5733" t="s">
        <v>766</v>
      </c>
      <c r="I5733" t="s">
        <v>647</v>
      </c>
      <c r="J5733" t="s">
        <v>767</v>
      </c>
      <c r="K5733" t="s">
        <v>228</v>
      </c>
      <c r="L5733" t="s">
        <v>13144</v>
      </c>
      <c r="M5733" s="3" t="str">
        <f>HYPERLINK("..\..\Imagery\ScannedPhotos\1999\CG99-073.1E.jpg")</f>
        <v>..\..\Imagery\ScannedPhotos\1999\CG99-073.1E.jpg</v>
      </c>
      <c r="N5733" t="s">
        <v>1808</v>
      </c>
    </row>
    <row r="5734" spans="1:14" x14ac:dyDescent="0.25">
      <c r="A5734" t="s">
        <v>13142</v>
      </c>
      <c r="B5734">
        <v>417770</v>
      </c>
      <c r="C5734">
        <v>5772520</v>
      </c>
      <c r="D5734">
        <v>21</v>
      </c>
      <c r="E5734" t="s">
        <v>15</v>
      </c>
      <c r="F5734" t="s">
        <v>13145</v>
      </c>
      <c r="G5734">
        <v>3</v>
      </c>
      <c r="H5734" t="s">
        <v>766</v>
      </c>
      <c r="I5734" t="s">
        <v>30</v>
      </c>
      <c r="J5734" t="s">
        <v>767</v>
      </c>
      <c r="K5734" t="s">
        <v>228</v>
      </c>
      <c r="L5734" t="s">
        <v>13146</v>
      </c>
      <c r="M5734" s="3" t="str">
        <f>HYPERLINK("..\..\Imagery\ScannedPhotos\1999\CG99-073.2E.jpg")</f>
        <v>..\..\Imagery\ScannedPhotos\1999\CG99-073.2E.jpg</v>
      </c>
      <c r="N5734" t="s">
        <v>1808</v>
      </c>
    </row>
    <row r="5735" spans="1:14" x14ac:dyDescent="0.25">
      <c r="A5735" t="s">
        <v>13142</v>
      </c>
      <c r="B5735">
        <v>417770</v>
      </c>
      <c r="C5735">
        <v>5772520</v>
      </c>
      <c r="D5735">
        <v>21</v>
      </c>
      <c r="E5735" t="s">
        <v>15</v>
      </c>
      <c r="F5735" t="s">
        <v>13147</v>
      </c>
      <c r="G5735">
        <v>3</v>
      </c>
      <c r="H5735" t="s">
        <v>766</v>
      </c>
      <c r="I5735" t="s">
        <v>114</v>
      </c>
      <c r="J5735" t="s">
        <v>767</v>
      </c>
      <c r="K5735" t="s">
        <v>228</v>
      </c>
      <c r="L5735" t="s">
        <v>13148</v>
      </c>
      <c r="M5735" s="3" t="str">
        <f>HYPERLINK("..\..\Imagery\ScannedPhotos\1999\CG99-073.3E.jpg")</f>
        <v>..\..\Imagery\ScannedPhotos\1999\CG99-073.3E.jpg</v>
      </c>
      <c r="N5735" t="s">
        <v>1808</v>
      </c>
    </row>
    <row r="5736" spans="1:14" x14ac:dyDescent="0.25">
      <c r="A5736" t="s">
        <v>13149</v>
      </c>
      <c r="B5736">
        <v>411548</v>
      </c>
      <c r="C5736">
        <v>5797244</v>
      </c>
      <c r="D5736">
        <v>21</v>
      </c>
      <c r="E5736" t="s">
        <v>15</v>
      </c>
      <c r="F5736" t="s">
        <v>13150</v>
      </c>
      <c r="G5736">
        <v>2</v>
      </c>
      <c r="H5736" t="s">
        <v>766</v>
      </c>
      <c r="I5736" t="s">
        <v>122</v>
      </c>
      <c r="J5736" t="s">
        <v>767</v>
      </c>
      <c r="K5736" t="s">
        <v>228</v>
      </c>
      <c r="L5736" t="s">
        <v>13151</v>
      </c>
      <c r="M5736" s="3" t="str">
        <f>HYPERLINK("..\..\Imagery\ScannedPhotos\1999\CG99-087.1E.jpg")</f>
        <v>..\..\Imagery\ScannedPhotos\1999\CG99-087.1E.jpg</v>
      </c>
      <c r="N5736" t="s">
        <v>1808</v>
      </c>
    </row>
    <row r="5737" spans="1:14" x14ac:dyDescent="0.25">
      <c r="A5737" t="s">
        <v>13149</v>
      </c>
      <c r="B5737">
        <v>411548</v>
      </c>
      <c r="C5737">
        <v>5797244</v>
      </c>
      <c r="D5737">
        <v>21</v>
      </c>
      <c r="E5737" t="s">
        <v>15</v>
      </c>
      <c r="F5737" t="s">
        <v>13152</v>
      </c>
      <c r="G5737">
        <v>2</v>
      </c>
      <c r="H5737" t="s">
        <v>766</v>
      </c>
      <c r="I5737" t="s">
        <v>126</v>
      </c>
      <c r="J5737" t="s">
        <v>767</v>
      </c>
      <c r="K5737" t="s">
        <v>228</v>
      </c>
      <c r="L5737" t="s">
        <v>13153</v>
      </c>
      <c r="M5737" s="3" t="str">
        <f>HYPERLINK("..\..\Imagery\ScannedPhotos\1999\CG99-087.2E.jpg")</f>
        <v>..\..\Imagery\ScannedPhotos\1999\CG99-087.2E.jpg</v>
      </c>
      <c r="N5737" t="s">
        <v>1808</v>
      </c>
    </row>
    <row r="5738" spans="1:14" x14ac:dyDescent="0.25">
      <c r="A5738" t="s">
        <v>5295</v>
      </c>
      <c r="B5738">
        <v>385116</v>
      </c>
      <c r="C5738">
        <v>5791273</v>
      </c>
      <c r="D5738">
        <v>21</v>
      </c>
      <c r="E5738" t="s">
        <v>15</v>
      </c>
      <c r="F5738" t="s">
        <v>13154</v>
      </c>
      <c r="G5738">
        <v>2</v>
      </c>
      <c r="H5738" t="s">
        <v>4033</v>
      </c>
      <c r="I5738" t="s">
        <v>41</v>
      </c>
      <c r="J5738" t="s">
        <v>4034</v>
      </c>
      <c r="K5738" t="s">
        <v>535</v>
      </c>
      <c r="L5738" t="s">
        <v>13155</v>
      </c>
      <c r="M5738" s="3" t="str">
        <f>HYPERLINK("..\..\Imagery\ScannedPhotos\1999\CG99-184.2E.jpg")</f>
        <v>..\..\Imagery\ScannedPhotos\1999\CG99-184.2E.jpg</v>
      </c>
      <c r="N5738" t="s">
        <v>1808</v>
      </c>
    </row>
    <row r="5739" spans="1:14" x14ac:dyDescent="0.25">
      <c r="A5739" t="s">
        <v>13156</v>
      </c>
      <c r="B5739">
        <v>365019</v>
      </c>
      <c r="C5739">
        <v>5796276</v>
      </c>
      <c r="D5739">
        <v>21</v>
      </c>
      <c r="E5739" t="s">
        <v>15</v>
      </c>
      <c r="F5739" t="s">
        <v>13157</v>
      </c>
      <c r="G5739">
        <v>2</v>
      </c>
      <c r="H5739" t="s">
        <v>6227</v>
      </c>
      <c r="I5739" t="s">
        <v>137</v>
      </c>
      <c r="J5739" t="s">
        <v>6228</v>
      </c>
      <c r="K5739" t="s">
        <v>20</v>
      </c>
      <c r="L5739" t="s">
        <v>6464</v>
      </c>
      <c r="M5739" s="3" t="str">
        <f>HYPERLINK("..\..\Imagery\ScannedPhotos\1999\CG99-295.1E.jpg")</f>
        <v>..\..\Imagery\ScannedPhotos\1999\CG99-295.1E.jpg</v>
      </c>
      <c r="N5739" t="s">
        <v>1808</v>
      </c>
    </row>
    <row r="5740" spans="1:14" x14ac:dyDescent="0.25">
      <c r="A5740" t="s">
        <v>13158</v>
      </c>
      <c r="B5740">
        <v>411706</v>
      </c>
      <c r="C5740">
        <v>5786225</v>
      </c>
      <c r="D5740">
        <v>21</v>
      </c>
      <c r="E5740" t="s">
        <v>15</v>
      </c>
      <c r="F5740" t="s">
        <v>13159</v>
      </c>
      <c r="G5740">
        <v>1</v>
      </c>
      <c r="H5740" t="s">
        <v>6227</v>
      </c>
      <c r="I5740" t="s">
        <v>47</v>
      </c>
      <c r="J5740" t="s">
        <v>6228</v>
      </c>
      <c r="K5740" t="s">
        <v>228</v>
      </c>
      <c r="L5740" t="s">
        <v>11816</v>
      </c>
      <c r="M5740" s="3" t="str">
        <f>HYPERLINK("..\..\Imagery\ScannedPhotos\1999\CG99-354E.jpg")</f>
        <v>..\..\Imagery\ScannedPhotos\1999\CG99-354E.jpg</v>
      </c>
      <c r="N5740" t="s">
        <v>1808</v>
      </c>
    </row>
    <row r="5741" spans="1:14" x14ac:dyDescent="0.25">
      <c r="A5741" t="s">
        <v>13160</v>
      </c>
      <c r="B5741">
        <v>368739</v>
      </c>
      <c r="C5741">
        <v>5775044</v>
      </c>
      <c r="D5741">
        <v>21</v>
      </c>
      <c r="E5741" t="s">
        <v>15</v>
      </c>
      <c r="F5741" t="s">
        <v>13161</v>
      </c>
      <c r="G5741">
        <v>1</v>
      </c>
      <c r="H5741" t="s">
        <v>6227</v>
      </c>
      <c r="I5741" t="s">
        <v>209</v>
      </c>
      <c r="J5741" t="s">
        <v>6228</v>
      </c>
      <c r="K5741" t="s">
        <v>20</v>
      </c>
      <c r="L5741" t="s">
        <v>13162</v>
      </c>
      <c r="M5741" s="3" t="str">
        <f>HYPERLINK("..\..\Imagery\ScannedPhotos\1999\CG99-313E.jpg")</f>
        <v>..\..\Imagery\ScannedPhotos\1999\CG99-313E.jpg</v>
      </c>
      <c r="N5741" t="s">
        <v>1808</v>
      </c>
    </row>
    <row r="5742" spans="1:14" x14ac:dyDescent="0.25">
      <c r="A5742" t="s">
        <v>8594</v>
      </c>
      <c r="B5742">
        <v>332160</v>
      </c>
      <c r="C5742">
        <v>5771420</v>
      </c>
      <c r="D5742">
        <v>21</v>
      </c>
      <c r="E5742" t="s">
        <v>15</v>
      </c>
      <c r="F5742" t="s">
        <v>13163</v>
      </c>
      <c r="G5742">
        <v>11</v>
      </c>
      <c r="H5742" t="s">
        <v>3404</v>
      </c>
      <c r="I5742" t="s">
        <v>35</v>
      </c>
      <c r="J5742" t="s">
        <v>80</v>
      </c>
      <c r="K5742" t="s">
        <v>20</v>
      </c>
      <c r="L5742" t="s">
        <v>13164</v>
      </c>
      <c r="M5742" s="3" t="str">
        <f>HYPERLINK("..\..\Imagery\ScannedPhotos\2000\CG00-154.3cropped.jpg")</f>
        <v>..\..\Imagery\ScannedPhotos\2000\CG00-154.3cropped.jpg</v>
      </c>
      <c r="N5742" t="s">
        <v>4297</v>
      </c>
    </row>
    <row r="5743" spans="1:14" x14ac:dyDescent="0.25">
      <c r="A5743" t="s">
        <v>10095</v>
      </c>
      <c r="B5743">
        <v>338753</v>
      </c>
      <c r="C5743">
        <v>5779217</v>
      </c>
      <c r="D5743">
        <v>21</v>
      </c>
      <c r="E5743" t="s">
        <v>15</v>
      </c>
      <c r="F5743" t="s">
        <v>13165</v>
      </c>
      <c r="G5743">
        <v>6</v>
      </c>
      <c r="H5743" t="s">
        <v>78</v>
      </c>
      <c r="I5743" t="s">
        <v>304</v>
      </c>
      <c r="J5743" t="s">
        <v>80</v>
      </c>
      <c r="K5743" t="s">
        <v>20</v>
      </c>
      <c r="L5743" t="s">
        <v>10196</v>
      </c>
      <c r="M5743" s="3" t="str">
        <f>HYPERLINK("..\..\Imagery\ScannedPhotos\2000\CG00-169.3cropped.jpg")</f>
        <v>..\..\Imagery\ScannedPhotos\2000\CG00-169.3cropped.jpg</v>
      </c>
      <c r="N5743" t="s">
        <v>4297</v>
      </c>
    </row>
    <row r="5744" spans="1:14" x14ac:dyDescent="0.25">
      <c r="A5744" t="s">
        <v>9740</v>
      </c>
      <c r="B5744">
        <v>348549</v>
      </c>
      <c r="C5744">
        <v>5778559</v>
      </c>
      <c r="D5744">
        <v>21</v>
      </c>
      <c r="E5744" t="s">
        <v>15</v>
      </c>
      <c r="F5744" t="s">
        <v>13166</v>
      </c>
      <c r="G5744">
        <v>6</v>
      </c>
      <c r="H5744" t="s">
        <v>3404</v>
      </c>
      <c r="I5744" t="s">
        <v>360</v>
      </c>
      <c r="J5744" t="s">
        <v>80</v>
      </c>
      <c r="K5744" t="s">
        <v>20</v>
      </c>
      <c r="L5744" t="s">
        <v>9742</v>
      </c>
      <c r="M5744" s="3" t="str">
        <f>HYPERLINK("..\..\Imagery\ScannedPhotos\2000\CG00-221.4cropped.jpg")</f>
        <v>..\..\Imagery\ScannedPhotos\2000\CG00-221.4cropped.jpg</v>
      </c>
      <c r="N5744" t="s">
        <v>4297</v>
      </c>
    </row>
    <row r="5745" spans="1:14" x14ac:dyDescent="0.25">
      <c r="A5745" t="s">
        <v>13167</v>
      </c>
      <c r="B5745">
        <v>354075</v>
      </c>
      <c r="C5745">
        <v>5772489</v>
      </c>
      <c r="D5745">
        <v>21</v>
      </c>
      <c r="E5745" t="s">
        <v>15</v>
      </c>
      <c r="F5745" t="s">
        <v>13168</v>
      </c>
      <c r="G5745">
        <v>1</v>
      </c>
      <c r="H5745" t="s">
        <v>2236</v>
      </c>
      <c r="I5745" t="s">
        <v>222</v>
      </c>
      <c r="J5745" t="s">
        <v>80</v>
      </c>
      <c r="K5745" t="s">
        <v>20</v>
      </c>
      <c r="L5745" t="s">
        <v>13169</v>
      </c>
      <c r="M5745" s="3" t="str">
        <f>HYPERLINK("..\..\Imagery\ScannedPhotos\2000\CG00-264cropped.jpg")</f>
        <v>..\..\Imagery\ScannedPhotos\2000\CG00-264cropped.jpg</v>
      </c>
      <c r="N5745" t="s">
        <v>4297</v>
      </c>
    </row>
    <row r="5746" spans="1:14" x14ac:dyDescent="0.25">
      <c r="A5746" t="s">
        <v>9177</v>
      </c>
      <c r="B5746">
        <v>326552</v>
      </c>
      <c r="C5746">
        <v>5818470</v>
      </c>
      <c r="D5746">
        <v>21</v>
      </c>
      <c r="E5746" t="s">
        <v>15</v>
      </c>
      <c r="F5746" t="s">
        <v>13170</v>
      </c>
      <c r="G5746">
        <v>4</v>
      </c>
      <c r="H5746" t="s">
        <v>2236</v>
      </c>
      <c r="I5746" t="s">
        <v>25</v>
      </c>
      <c r="J5746" t="s">
        <v>80</v>
      </c>
      <c r="K5746" t="s">
        <v>20</v>
      </c>
      <c r="L5746" t="s">
        <v>9179</v>
      </c>
      <c r="M5746" s="3" t="str">
        <f>HYPERLINK("..\..\Imagery\ScannedPhotos\2000\CG00-272.2cropped.jpg")</f>
        <v>..\..\Imagery\ScannedPhotos\2000\CG00-272.2cropped.jpg</v>
      </c>
      <c r="N5746" t="s">
        <v>4297</v>
      </c>
    </row>
    <row r="5747" spans="1:14" x14ac:dyDescent="0.25">
      <c r="A5747" t="s">
        <v>5810</v>
      </c>
      <c r="B5747">
        <v>354203</v>
      </c>
      <c r="C5747">
        <v>5787740</v>
      </c>
      <c r="D5747">
        <v>21</v>
      </c>
      <c r="E5747" t="s">
        <v>15</v>
      </c>
      <c r="F5747" t="s">
        <v>13171</v>
      </c>
      <c r="G5747">
        <v>3</v>
      </c>
      <c r="H5747" t="s">
        <v>2236</v>
      </c>
      <c r="I5747" t="s">
        <v>114</v>
      </c>
      <c r="J5747" t="s">
        <v>80</v>
      </c>
      <c r="K5747" t="s">
        <v>20</v>
      </c>
      <c r="L5747" t="s">
        <v>5812</v>
      </c>
      <c r="M5747" s="3" t="str">
        <f>HYPERLINK("..\..\Imagery\ScannedPhotos\2000\CG00-284.1cropped.jpg")</f>
        <v>..\..\Imagery\ScannedPhotos\2000\CG00-284.1cropped.jpg</v>
      </c>
      <c r="N5747" t="s">
        <v>4297</v>
      </c>
    </row>
    <row r="5748" spans="1:14" x14ac:dyDescent="0.25">
      <c r="A5748" t="s">
        <v>9117</v>
      </c>
      <c r="B5748">
        <v>343243</v>
      </c>
      <c r="C5748">
        <v>5812334</v>
      </c>
      <c r="D5748">
        <v>21</v>
      </c>
      <c r="E5748" t="s">
        <v>15</v>
      </c>
      <c r="F5748" t="s">
        <v>13172</v>
      </c>
      <c r="G5748">
        <v>7</v>
      </c>
      <c r="H5748" t="s">
        <v>2236</v>
      </c>
      <c r="I5748" t="s">
        <v>47</v>
      </c>
      <c r="J5748" t="s">
        <v>80</v>
      </c>
      <c r="K5748" t="s">
        <v>20</v>
      </c>
      <c r="L5748" t="s">
        <v>13173</v>
      </c>
      <c r="M5748" s="3" t="str">
        <f>HYPERLINK("..\..\Imagery\ScannedPhotos\2000\CG00-319.4cropped.jpg")</f>
        <v>..\..\Imagery\ScannedPhotos\2000\CG00-319.4cropped.jpg</v>
      </c>
      <c r="N5748" t="s">
        <v>4297</v>
      </c>
    </row>
    <row r="5749" spans="1:14" x14ac:dyDescent="0.25">
      <c r="A5749" t="s">
        <v>3922</v>
      </c>
      <c r="B5749">
        <v>564924</v>
      </c>
      <c r="C5749">
        <v>5781226</v>
      </c>
      <c r="D5749">
        <v>21</v>
      </c>
      <c r="E5749" t="s">
        <v>15</v>
      </c>
      <c r="F5749" t="s">
        <v>13174</v>
      </c>
      <c r="G5749">
        <v>2</v>
      </c>
      <c r="K5749" t="s">
        <v>56</v>
      </c>
      <c r="L5749" t="s">
        <v>3924</v>
      </c>
      <c r="M5749" s="3" t="str">
        <f>HYPERLINK("..\..\Imagery\ScannedPhotos\2003\CG03-102.2cropped.jpg")</f>
        <v>..\..\Imagery\ScannedPhotos\2003\CG03-102.2cropped.jpg</v>
      </c>
      <c r="N5749" t="s">
        <v>4297</v>
      </c>
    </row>
    <row r="5750" spans="1:14" x14ac:dyDescent="0.25">
      <c r="A5750" t="s">
        <v>13175</v>
      </c>
      <c r="B5750">
        <v>550871</v>
      </c>
      <c r="C5750">
        <v>5818269</v>
      </c>
      <c r="D5750">
        <v>21</v>
      </c>
      <c r="E5750" t="s">
        <v>15</v>
      </c>
      <c r="F5750" t="s">
        <v>13176</v>
      </c>
      <c r="G5750">
        <v>1</v>
      </c>
      <c r="K5750" t="s">
        <v>56</v>
      </c>
      <c r="L5750" t="s">
        <v>13177</v>
      </c>
      <c r="M5750" s="3" t="str">
        <f>HYPERLINK("..\..\Imagery\ScannedPhotos\2003\CG03-214cropped.jpg")</f>
        <v>..\..\Imagery\ScannedPhotos\2003\CG03-214cropped.jpg</v>
      </c>
      <c r="N5750" t="s">
        <v>4297</v>
      </c>
    </row>
    <row r="5751" spans="1:14" x14ac:dyDescent="0.25">
      <c r="A5751" t="s">
        <v>456</v>
      </c>
      <c r="B5751">
        <v>484471</v>
      </c>
      <c r="C5751">
        <v>5865203</v>
      </c>
      <c r="D5751">
        <v>21</v>
      </c>
      <c r="E5751" t="s">
        <v>15</v>
      </c>
      <c r="F5751" t="s">
        <v>13178</v>
      </c>
      <c r="G5751">
        <v>10</v>
      </c>
      <c r="K5751" t="s">
        <v>20</v>
      </c>
      <c r="L5751" t="s">
        <v>462</v>
      </c>
      <c r="M5751" s="3" t="str">
        <f>HYPERLINK("..\..\Imagery\ScannedPhotos\2003\CG03-354.4cropped.jpg")</f>
        <v>..\..\Imagery\ScannedPhotos\2003\CG03-354.4cropped.jpg</v>
      </c>
      <c r="N5751" t="s">
        <v>4297</v>
      </c>
    </row>
    <row r="5752" spans="1:14" x14ac:dyDescent="0.25">
      <c r="A5752" t="s">
        <v>4538</v>
      </c>
      <c r="B5752">
        <v>547219</v>
      </c>
      <c r="C5752">
        <v>5841232</v>
      </c>
      <c r="D5752">
        <v>21</v>
      </c>
      <c r="E5752" t="s">
        <v>15</v>
      </c>
      <c r="F5752" t="s">
        <v>13179</v>
      </c>
      <c r="G5752">
        <v>2</v>
      </c>
      <c r="K5752" t="s">
        <v>20</v>
      </c>
      <c r="L5752" t="s">
        <v>90</v>
      </c>
      <c r="M5752" s="3" t="str">
        <f>HYPERLINK("..\..\Imagery\ScannedPhotos\2004\CG04-028.2cropped.jpg")</f>
        <v>..\..\Imagery\ScannedPhotos\2004\CG04-028.2cropped.jpg</v>
      </c>
      <c r="N5752" t="s">
        <v>4297</v>
      </c>
    </row>
    <row r="5753" spans="1:14" x14ac:dyDescent="0.25">
      <c r="A5753" t="s">
        <v>4661</v>
      </c>
      <c r="B5753">
        <v>561443</v>
      </c>
      <c r="C5753">
        <v>5839509</v>
      </c>
      <c r="D5753">
        <v>21</v>
      </c>
      <c r="E5753" t="s">
        <v>15</v>
      </c>
      <c r="F5753" t="s">
        <v>13180</v>
      </c>
      <c r="G5753">
        <v>2</v>
      </c>
      <c r="K5753" t="s">
        <v>20</v>
      </c>
      <c r="L5753" t="s">
        <v>4663</v>
      </c>
      <c r="M5753" s="3" t="str">
        <f>HYPERLINK("..\..\Imagery\ScannedPhotos\2004\CG04-090.2cropped.jpg")</f>
        <v>..\..\Imagery\ScannedPhotos\2004\CG04-090.2cropped.jpg</v>
      </c>
      <c r="N5753" t="s">
        <v>4297</v>
      </c>
    </row>
    <row r="5754" spans="1:14" x14ac:dyDescent="0.25">
      <c r="A5754" t="s">
        <v>6950</v>
      </c>
      <c r="B5754">
        <v>565726</v>
      </c>
      <c r="C5754">
        <v>5837321</v>
      </c>
      <c r="D5754">
        <v>21</v>
      </c>
      <c r="E5754" t="s">
        <v>15</v>
      </c>
      <c r="F5754" t="s">
        <v>13181</v>
      </c>
      <c r="G5754">
        <v>2</v>
      </c>
      <c r="K5754" t="s">
        <v>20</v>
      </c>
      <c r="L5754" t="s">
        <v>13182</v>
      </c>
      <c r="M5754" s="3" t="str">
        <f>HYPERLINK("..\..\Imagery\ScannedPhotos\2004\CG04-104.2cropped.jpg")</f>
        <v>..\..\Imagery\ScannedPhotos\2004\CG04-104.2cropped.jpg</v>
      </c>
      <c r="N5754" t="s">
        <v>4297</v>
      </c>
    </row>
    <row r="5755" spans="1:14" x14ac:dyDescent="0.25">
      <c r="A5755" t="s">
        <v>922</v>
      </c>
      <c r="B5755">
        <v>503961</v>
      </c>
      <c r="C5755">
        <v>5941547</v>
      </c>
      <c r="D5755">
        <v>21</v>
      </c>
      <c r="E5755" t="s">
        <v>15</v>
      </c>
      <c r="F5755" t="s">
        <v>13183</v>
      </c>
      <c r="G5755">
        <v>7</v>
      </c>
      <c r="K5755" t="s">
        <v>56</v>
      </c>
      <c r="L5755" t="s">
        <v>13184</v>
      </c>
      <c r="M5755" s="3" t="str">
        <f>HYPERLINK("..\..\Imagery\ScannedPhotos\2004\CG04-245.7cropped.jpg")</f>
        <v>..\..\Imagery\ScannedPhotos\2004\CG04-245.7cropped.jpg</v>
      </c>
      <c r="N5755" t="s">
        <v>4297</v>
      </c>
    </row>
    <row r="5756" spans="1:14" x14ac:dyDescent="0.25">
      <c r="A5756" t="s">
        <v>4062</v>
      </c>
      <c r="B5756">
        <v>510061</v>
      </c>
      <c r="C5756">
        <v>5933273</v>
      </c>
      <c r="D5756">
        <v>21</v>
      </c>
      <c r="E5756" t="s">
        <v>15</v>
      </c>
      <c r="F5756" t="s">
        <v>13185</v>
      </c>
      <c r="G5756">
        <v>2</v>
      </c>
      <c r="K5756" t="s">
        <v>56</v>
      </c>
      <c r="L5756" t="s">
        <v>4064</v>
      </c>
      <c r="M5756" s="3" t="str">
        <f>HYPERLINK("..\..\Imagery\ScannedPhotos\2004\CG04-265.2cropped.jpg")</f>
        <v>..\..\Imagery\ScannedPhotos\2004\CG04-265.2cropped.jpg</v>
      </c>
      <c r="N5756" t="s">
        <v>4297</v>
      </c>
    </row>
    <row r="5757" spans="1:14" x14ac:dyDescent="0.25">
      <c r="A5757" t="s">
        <v>13186</v>
      </c>
      <c r="B5757">
        <v>500048</v>
      </c>
      <c r="C5757">
        <v>5712776</v>
      </c>
      <c r="D5757">
        <v>21</v>
      </c>
      <c r="E5757" t="s">
        <v>15</v>
      </c>
      <c r="F5757" t="s">
        <v>13187</v>
      </c>
      <c r="G5757">
        <v>1</v>
      </c>
      <c r="H5757" t="s">
        <v>1784</v>
      </c>
      <c r="I5757" t="s">
        <v>122</v>
      </c>
      <c r="J5757" t="s">
        <v>1738</v>
      </c>
      <c r="K5757" t="s">
        <v>20</v>
      </c>
      <c r="L5757" t="s">
        <v>772</v>
      </c>
      <c r="M5757" s="3" t="str">
        <f>HYPERLINK("..\..\Imagery\ScannedPhotos\1993\VN93-303.jpg")</f>
        <v>..\..\Imagery\ScannedPhotos\1993\VN93-303.jpg</v>
      </c>
    </row>
    <row r="5758" spans="1:14" x14ac:dyDescent="0.25">
      <c r="A5758" t="s">
        <v>4865</v>
      </c>
      <c r="B5758">
        <v>506859</v>
      </c>
      <c r="C5758">
        <v>5953950</v>
      </c>
      <c r="D5758">
        <v>21</v>
      </c>
      <c r="E5758" t="s">
        <v>15</v>
      </c>
      <c r="F5758" t="s">
        <v>13188</v>
      </c>
      <c r="G5758">
        <v>3</v>
      </c>
      <c r="H5758" t="s">
        <v>3587</v>
      </c>
      <c r="I5758" t="s">
        <v>69</v>
      </c>
      <c r="J5758" t="s">
        <v>3588</v>
      </c>
      <c r="K5758" t="s">
        <v>20</v>
      </c>
      <c r="L5758" t="s">
        <v>639</v>
      </c>
      <c r="M5758" s="3" t="str">
        <f>HYPERLINK("..\..\Imagery\ScannedPhotos\1977\MC77-247.1.jpg")</f>
        <v>..\..\Imagery\ScannedPhotos\1977\MC77-247.1.jpg</v>
      </c>
    </row>
    <row r="5759" spans="1:14" x14ac:dyDescent="0.25">
      <c r="A5759" t="s">
        <v>13189</v>
      </c>
      <c r="B5759">
        <v>508167</v>
      </c>
      <c r="C5759">
        <v>5953415</v>
      </c>
      <c r="D5759">
        <v>21</v>
      </c>
      <c r="E5759" t="s">
        <v>15</v>
      </c>
      <c r="F5759" t="s">
        <v>13190</v>
      </c>
      <c r="G5759">
        <v>1</v>
      </c>
      <c r="H5759" t="s">
        <v>3587</v>
      </c>
      <c r="I5759" t="s">
        <v>85</v>
      </c>
      <c r="J5759" t="s">
        <v>3588</v>
      </c>
      <c r="K5759" t="s">
        <v>56</v>
      </c>
      <c r="L5759" t="s">
        <v>13191</v>
      </c>
      <c r="M5759" s="3" t="str">
        <f>HYPERLINK("..\..\Imagery\ScannedPhotos\1977\MC77-248.jpg")</f>
        <v>..\..\Imagery\ScannedPhotos\1977\MC77-248.jpg</v>
      </c>
    </row>
    <row r="5760" spans="1:14" x14ac:dyDescent="0.25">
      <c r="A5760" t="s">
        <v>9529</v>
      </c>
      <c r="B5760">
        <v>510575</v>
      </c>
      <c r="C5760">
        <v>5954433</v>
      </c>
      <c r="D5760">
        <v>21</v>
      </c>
      <c r="E5760" t="s">
        <v>15</v>
      </c>
      <c r="F5760" t="s">
        <v>13192</v>
      </c>
      <c r="G5760">
        <v>3</v>
      </c>
      <c r="H5760" t="s">
        <v>3587</v>
      </c>
      <c r="I5760" t="s">
        <v>94</v>
      </c>
      <c r="J5760" t="s">
        <v>3588</v>
      </c>
      <c r="K5760" t="s">
        <v>20</v>
      </c>
      <c r="L5760" t="s">
        <v>13193</v>
      </c>
      <c r="M5760" s="3" t="str">
        <f>HYPERLINK("..\..\Imagery\ScannedPhotos\1977\MC77-249.2.jpg")</f>
        <v>..\..\Imagery\ScannedPhotos\1977\MC77-249.2.jpg</v>
      </c>
    </row>
    <row r="5761" spans="1:13" x14ac:dyDescent="0.25">
      <c r="A5761" t="s">
        <v>9529</v>
      </c>
      <c r="B5761">
        <v>510575</v>
      </c>
      <c r="C5761">
        <v>5954433</v>
      </c>
      <c r="D5761">
        <v>21</v>
      </c>
      <c r="E5761" t="s">
        <v>15</v>
      </c>
      <c r="F5761" t="s">
        <v>13194</v>
      </c>
      <c r="G5761">
        <v>3</v>
      </c>
      <c r="H5761" t="s">
        <v>3587</v>
      </c>
      <c r="I5761" t="s">
        <v>375</v>
      </c>
      <c r="J5761" t="s">
        <v>3588</v>
      </c>
      <c r="K5761" t="s">
        <v>20</v>
      </c>
      <c r="L5761" t="s">
        <v>3364</v>
      </c>
      <c r="M5761" s="3" t="str">
        <f>HYPERLINK("..\..\Imagery\ScannedPhotos\1977\MC77-249.1.jpg")</f>
        <v>..\..\Imagery\ScannedPhotos\1977\MC77-249.1.jpg</v>
      </c>
    </row>
    <row r="5762" spans="1:13" x14ac:dyDescent="0.25">
      <c r="A5762" t="s">
        <v>2348</v>
      </c>
      <c r="B5762">
        <v>493688</v>
      </c>
      <c r="C5762">
        <v>5832496</v>
      </c>
      <c r="D5762">
        <v>21</v>
      </c>
      <c r="E5762" t="s">
        <v>15</v>
      </c>
      <c r="F5762" t="s">
        <v>13195</v>
      </c>
      <c r="G5762">
        <v>8</v>
      </c>
      <c r="H5762" t="s">
        <v>968</v>
      </c>
      <c r="I5762" t="s">
        <v>35</v>
      </c>
      <c r="J5762" t="s">
        <v>42</v>
      </c>
      <c r="K5762" t="s">
        <v>56</v>
      </c>
      <c r="L5762" t="s">
        <v>13196</v>
      </c>
      <c r="M5762" s="3" t="str">
        <f>HYPERLINK("..\..\Imagery\ScannedPhotos\1991\VN91-001.5.jpg")</f>
        <v>..\..\Imagery\ScannedPhotos\1991\VN91-001.5.jpg</v>
      </c>
    </row>
    <row r="5763" spans="1:13" x14ac:dyDescent="0.25">
      <c r="A5763" t="s">
        <v>2348</v>
      </c>
      <c r="B5763">
        <v>493688</v>
      </c>
      <c r="C5763">
        <v>5832496</v>
      </c>
      <c r="D5763">
        <v>21</v>
      </c>
      <c r="E5763" t="s">
        <v>15</v>
      </c>
      <c r="F5763" t="s">
        <v>13197</v>
      </c>
      <c r="G5763">
        <v>8</v>
      </c>
      <c r="H5763" t="s">
        <v>968</v>
      </c>
      <c r="I5763" t="s">
        <v>18</v>
      </c>
      <c r="J5763" t="s">
        <v>42</v>
      </c>
      <c r="K5763" t="s">
        <v>56</v>
      </c>
      <c r="L5763" t="s">
        <v>13198</v>
      </c>
      <c r="M5763" s="3" t="str">
        <f>HYPERLINK("..\..\Imagery\ScannedPhotos\1991\VN91-001.4.jpg")</f>
        <v>..\..\Imagery\ScannedPhotos\1991\VN91-001.4.jpg</v>
      </c>
    </row>
    <row r="5764" spans="1:13" x14ac:dyDescent="0.25">
      <c r="A5764" t="s">
        <v>3548</v>
      </c>
      <c r="B5764">
        <v>472050</v>
      </c>
      <c r="C5764">
        <v>5859375</v>
      </c>
      <c r="D5764">
        <v>21</v>
      </c>
      <c r="E5764" t="s">
        <v>15</v>
      </c>
      <c r="F5764" t="s">
        <v>13199</v>
      </c>
      <c r="G5764">
        <v>19</v>
      </c>
      <c r="H5764" t="s">
        <v>2719</v>
      </c>
      <c r="I5764" t="s">
        <v>360</v>
      </c>
      <c r="J5764" t="s">
        <v>891</v>
      </c>
      <c r="K5764" t="s">
        <v>56</v>
      </c>
      <c r="L5764" t="s">
        <v>13200</v>
      </c>
      <c r="M5764" s="3" t="str">
        <f>HYPERLINK("..\..\Imagery\ScannedPhotos\1991\VN91-264.15.jpg")</f>
        <v>..\..\Imagery\ScannedPhotos\1991\VN91-264.15.jpg</v>
      </c>
    </row>
    <row r="5765" spans="1:13" x14ac:dyDescent="0.25">
      <c r="A5765" t="s">
        <v>13201</v>
      </c>
      <c r="B5765">
        <v>374348</v>
      </c>
      <c r="C5765">
        <v>5971811</v>
      </c>
      <c r="D5765">
        <v>21</v>
      </c>
      <c r="E5765" t="s">
        <v>15</v>
      </c>
      <c r="F5765" t="s">
        <v>13202</v>
      </c>
      <c r="G5765">
        <v>2</v>
      </c>
      <c r="H5765" t="s">
        <v>1424</v>
      </c>
      <c r="I5765" t="s">
        <v>114</v>
      </c>
      <c r="J5765" t="s">
        <v>623</v>
      </c>
      <c r="K5765" t="s">
        <v>20</v>
      </c>
      <c r="L5765" t="s">
        <v>13203</v>
      </c>
      <c r="M5765" s="3" t="str">
        <f>HYPERLINK("..\..\Imagery\ScannedPhotos\1980\NN80-139.2.jpg")</f>
        <v>..\..\Imagery\ScannedPhotos\1980\NN80-139.2.jpg</v>
      </c>
    </row>
    <row r="5766" spans="1:13" x14ac:dyDescent="0.25">
      <c r="A5766" t="s">
        <v>13204</v>
      </c>
      <c r="B5766">
        <v>376368</v>
      </c>
      <c r="C5766">
        <v>5972609</v>
      </c>
      <c r="D5766">
        <v>21</v>
      </c>
      <c r="E5766" t="s">
        <v>15</v>
      </c>
      <c r="F5766" t="s">
        <v>13205</v>
      </c>
      <c r="G5766">
        <v>2</v>
      </c>
      <c r="H5766" t="s">
        <v>1424</v>
      </c>
      <c r="I5766" t="s">
        <v>122</v>
      </c>
      <c r="J5766" t="s">
        <v>623</v>
      </c>
      <c r="K5766" t="s">
        <v>20</v>
      </c>
      <c r="L5766" t="s">
        <v>1236</v>
      </c>
      <c r="M5766" s="3" t="str">
        <f>HYPERLINK("..\..\Imagery\ScannedPhotos\1980\NN80-141.2.jpg")</f>
        <v>..\..\Imagery\ScannedPhotos\1980\NN80-141.2.jpg</v>
      </c>
    </row>
    <row r="5767" spans="1:13" x14ac:dyDescent="0.25">
      <c r="A5767" t="s">
        <v>13204</v>
      </c>
      <c r="B5767">
        <v>376368</v>
      </c>
      <c r="C5767">
        <v>5972609</v>
      </c>
      <c r="D5767">
        <v>21</v>
      </c>
      <c r="E5767" t="s">
        <v>15</v>
      </c>
      <c r="F5767" t="s">
        <v>13206</v>
      </c>
      <c r="G5767">
        <v>2</v>
      </c>
      <c r="H5767" t="s">
        <v>1424</v>
      </c>
      <c r="I5767" t="s">
        <v>119</v>
      </c>
      <c r="J5767" t="s">
        <v>623</v>
      </c>
      <c r="K5767" t="s">
        <v>20</v>
      </c>
      <c r="L5767" t="s">
        <v>1236</v>
      </c>
      <c r="M5767" s="3" t="str">
        <f>HYPERLINK("..\..\Imagery\ScannedPhotos\1980\NN80-141.1.jpg")</f>
        <v>..\..\Imagery\ScannedPhotos\1980\NN80-141.1.jpg</v>
      </c>
    </row>
    <row r="5768" spans="1:13" x14ac:dyDescent="0.25">
      <c r="A5768" t="s">
        <v>13207</v>
      </c>
      <c r="B5768">
        <v>376807</v>
      </c>
      <c r="C5768">
        <v>5977704</v>
      </c>
      <c r="D5768">
        <v>21</v>
      </c>
      <c r="E5768" t="s">
        <v>15</v>
      </c>
      <c r="F5768" t="s">
        <v>13208</v>
      </c>
      <c r="G5768">
        <v>1</v>
      </c>
      <c r="H5768" t="s">
        <v>622</v>
      </c>
      <c r="I5768" t="s">
        <v>418</v>
      </c>
      <c r="J5768" t="s">
        <v>623</v>
      </c>
      <c r="K5768" t="s">
        <v>20</v>
      </c>
      <c r="L5768" t="s">
        <v>13209</v>
      </c>
      <c r="M5768" s="3" t="str">
        <f>HYPERLINK("..\..\Imagery\ScannedPhotos\1980\NN80-159.jpg")</f>
        <v>..\..\Imagery\ScannedPhotos\1980\NN80-159.jpg</v>
      </c>
    </row>
    <row r="5769" spans="1:13" x14ac:dyDescent="0.25">
      <c r="A5769" t="s">
        <v>13210</v>
      </c>
      <c r="B5769">
        <v>377920</v>
      </c>
      <c r="C5769">
        <v>5978009</v>
      </c>
      <c r="D5769">
        <v>21</v>
      </c>
      <c r="E5769" t="s">
        <v>15</v>
      </c>
      <c r="F5769" t="s">
        <v>13211</v>
      </c>
      <c r="G5769">
        <v>2</v>
      </c>
      <c r="H5769" t="s">
        <v>622</v>
      </c>
      <c r="I5769" t="s">
        <v>304</v>
      </c>
      <c r="J5769" t="s">
        <v>623</v>
      </c>
      <c r="K5769" t="s">
        <v>20</v>
      </c>
      <c r="L5769" t="s">
        <v>13212</v>
      </c>
      <c r="M5769" s="3" t="str">
        <f>HYPERLINK("..\..\Imagery\ScannedPhotos\1980\NN80-162.1.jpg")</f>
        <v>..\..\Imagery\ScannedPhotos\1980\NN80-162.1.jpg</v>
      </c>
    </row>
    <row r="5770" spans="1:13" x14ac:dyDescent="0.25">
      <c r="A5770" t="s">
        <v>10230</v>
      </c>
      <c r="B5770">
        <v>479653</v>
      </c>
      <c r="C5770">
        <v>5922741</v>
      </c>
      <c r="D5770">
        <v>21</v>
      </c>
      <c r="E5770" t="s">
        <v>15</v>
      </c>
      <c r="F5770" t="s">
        <v>13213</v>
      </c>
      <c r="G5770">
        <v>2</v>
      </c>
      <c r="H5770" t="s">
        <v>4524</v>
      </c>
      <c r="I5770" t="s">
        <v>217</v>
      </c>
      <c r="J5770" t="s">
        <v>3309</v>
      </c>
      <c r="K5770" t="s">
        <v>20</v>
      </c>
      <c r="L5770" t="s">
        <v>10232</v>
      </c>
      <c r="M5770" s="3" t="str">
        <f>HYPERLINK("..\..\Imagery\ScannedPhotos\1984\VN84-020.2.jpg")</f>
        <v>..\..\Imagery\ScannedPhotos\1984\VN84-020.2.jpg</v>
      </c>
    </row>
    <row r="5771" spans="1:13" x14ac:dyDescent="0.25">
      <c r="A5771" t="s">
        <v>10441</v>
      </c>
      <c r="B5771">
        <v>545569</v>
      </c>
      <c r="C5771">
        <v>5733997</v>
      </c>
      <c r="D5771">
        <v>21</v>
      </c>
      <c r="E5771" t="s">
        <v>15</v>
      </c>
      <c r="F5771" t="s">
        <v>13214</v>
      </c>
      <c r="G5771">
        <v>2</v>
      </c>
      <c r="H5771" t="s">
        <v>1784</v>
      </c>
      <c r="I5771" t="s">
        <v>79</v>
      </c>
      <c r="J5771" t="s">
        <v>1738</v>
      </c>
      <c r="K5771" t="s">
        <v>20</v>
      </c>
      <c r="L5771" t="s">
        <v>10443</v>
      </c>
      <c r="M5771" s="3" t="str">
        <f>HYPERLINK("..\..\Imagery\ScannedPhotos\1993\VN93-222.2.jpg")</f>
        <v>..\..\Imagery\ScannedPhotos\1993\VN93-222.2.jpg</v>
      </c>
    </row>
    <row r="5772" spans="1:13" x14ac:dyDescent="0.25">
      <c r="A5772" t="s">
        <v>13215</v>
      </c>
      <c r="B5772">
        <v>545718</v>
      </c>
      <c r="C5772">
        <v>5733994</v>
      </c>
      <c r="D5772">
        <v>21</v>
      </c>
      <c r="E5772" t="s">
        <v>15</v>
      </c>
      <c r="F5772" t="s">
        <v>13216</v>
      </c>
      <c r="G5772">
        <v>1</v>
      </c>
      <c r="H5772" t="s">
        <v>1784</v>
      </c>
      <c r="I5772" t="s">
        <v>281</v>
      </c>
      <c r="J5772" t="s">
        <v>1738</v>
      </c>
      <c r="K5772" t="s">
        <v>20</v>
      </c>
      <c r="L5772" t="s">
        <v>13217</v>
      </c>
      <c r="M5772" s="3" t="str">
        <f>HYPERLINK("..\..\Imagery\ScannedPhotos\1993\VN93-223.jpg")</f>
        <v>..\..\Imagery\ScannedPhotos\1993\VN93-223.jpg</v>
      </c>
    </row>
    <row r="5773" spans="1:13" x14ac:dyDescent="0.25">
      <c r="A5773" t="s">
        <v>13218</v>
      </c>
      <c r="B5773">
        <v>545806</v>
      </c>
      <c r="C5773">
        <v>5734837</v>
      </c>
      <c r="D5773">
        <v>21</v>
      </c>
      <c r="E5773" t="s">
        <v>15</v>
      </c>
      <c r="F5773" t="s">
        <v>13219</v>
      </c>
      <c r="G5773">
        <v>1</v>
      </c>
      <c r="H5773" t="s">
        <v>1784</v>
      </c>
      <c r="I5773" t="s">
        <v>137</v>
      </c>
      <c r="J5773" t="s">
        <v>1738</v>
      </c>
      <c r="K5773" t="s">
        <v>56</v>
      </c>
      <c r="L5773" t="s">
        <v>12049</v>
      </c>
      <c r="M5773" s="3" t="str">
        <f>HYPERLINK("..\..\Imagery\ScannedPhotos\1993\VN93-226.jpg")</f>
        <v>..\..\Imagery\ScannedPhotos\1993\VN93-226.jpg</v>
      </c>
    </row>
    <row r="5774" spans="1:13" x14ac:dyDescent="0.25">
      <c r="A5774" t="s">
        <v>13220</v>
      </c>
      <c r="B5774">
        <v>548737</v>
      </c>
      <c r="C5774">
        <v>5739079</v>
      </c>
      <c r="D5774">
        <v>21</v>
      </c>
      <c r="E5774" t="s">
        <v>15</v>
      </c>
      <c r="F5774" t="s">
        <v>13221</v>
      </c>
      <c r="G5774">
        <v>1</v>
      </c>
      <c r="H5774" t="s">
        <v>1784</v>
      </c>
      <c r="I5774" t="s">
        <v>217</v>
      </c>
      <c r="J5774" t="s">
        <v>1738</v>
      </c>
      <c r="K5774" t="s">
        <v>56</v>
      </c>
      <c r="L5774" t="s">
        <v>12049</v>
      </c>
      <c r="M5774" s="3" t="str">
        <f>HYPERLINK("..\..\Imagery\ScannedPhotos\1993\VN93-234.jpg")</f>
        <v>..\..\Imagery\ScannedPhotos\1993\VN93-234.jpg</v>
      </c>
    </row>
    <row r="5775" spans="1:13" x14ac:dyDescent="0.25">
      <c r="A5775" t="s">
        <v>2282</v>
      </c>
      <c r="B5775">
        <v>504835</v>
      </c>
      <c r="C5775">
        <v>5970254</v>
      </c>
      <c r="D5775">
        <v>21</v>
      </c>
      <c r="E5775" t="s">
        <v>15</v>
      </c>
      <c r="F5775" t="s">
        <v>13222</v>
      </c>
      <c r="G5775">
        <v>20</v>
      </c>
      <c r="H5775" t="s">
        <v>2284</v>
      </c>
      <c r="I5775" t="s">
        <v>25</v>
      </c>
      <c r="J5775" t="s">
        <v>3136</v>
      </c>
      <c r="K5775" t="s">
        <v>228</v>
      </c>
      <c r="L5775" t="s">
        <v>5646</v>
      </c>
      <c r="M5775" s="3" t="str">
        <f>HYPERLINK("..\..\Imagery\ScannedPhotos\1984\CG84-172.13.jpg")</f>
        <v>..\..\Imagery\ScannedPhotos\1984\CG84-172.13.jpg</v>
      </c>
    </row>
    <row r="5776" spans="1:13" x14ac:dyDescent="0.25">
      <c r="A5776" t="s">
        <v>9410</v>
      </c>
      <c r="B5776">
        <v>498390</v>
      </c>
      <c r="C5776">
        <v>6036659</v>
      </c>
      <c r="D5776">
        <v>21</v>
      </c>
      <c r="E5776" t="s">
        <v>15</v>
      </c>
      <c r="F5776" t="s">
        <v>13223</v>
      </c>
      <c r="G5776">
        <v>5</v>
      </c>
      <c r="H5776" t="s">
        <v>835</v>
      </c>
      <c r="I5776" t="s">
        <v>137</v>
      </c>
      <c r="J5776" t="s">
        <v>423</v>
      </c>
      <c r="K5776" t="s">
        <v>20</v>
      </c>
      <c r="L5776" t="s">
        <v>13224</v>
      </c>
      <c r="M5776" s="3" t="str">
        <f>HYPERLINK("..\..\Imagery\ScannedPhotos\1979\CG79-340.2.jpg")</f>
        <v>..\..\Imagery\ScannedPhotos\1979\CG79-340.2.jpg</v>
      </c>
    </row>
    <row r="5777" spans="1:14" x14ac:dyDescent="0.25">
      <c r="A5777" t="s">
        <v>9410</v>
      </c>
      <c r="B5777">
        <v>498390</v>
      </c>
      <c r="C5777">
        <v>6036659</v>
      </c>
      <c r="D5777">
        <v>21</v>
      </c>
      <c r="E5777" t="s">
        <v>15</v>
      </c>
      <c r="F5777" t="s">
        <v>13225</v>
      </c>
      <c r="G5777">
        <v>5</v>
      </c>
      <c r="H5777" t="s">
        <v>835</v>
      </c>
      <c r="I5777" t="s">
        <v>69</v>
      </c>
      <c r="J5777" t="s">
        <v>423</v>
      </c>
      <c r="K5777" t="s">
        <v>20</v>
      </c>
      <c r="L5777" t="s">
        <v>13226</v>
      </c>
      <c r="M5777" s="3" t="str">
        <f>HYPERLINK("..\..\Imagery\ScannedPhotos\1979\CG79-340.5.jpg")</f>
        <v>..\..\Imagery\ScannedPhotos\1979\CG79-340.5.jpg</v>
      </c>
    </row>
    <row r="5778" spans="1:14" x14ac:dyDescent="0.25">
      <c r="A5778" t="s">
        <v>91</v>
      </c>
      <c r="B5778">
        <v>440013</v>
      </c>
      <c r="C5778">
        <v>6007723</v>
      </c>
      <c r="D5778">
        <v>21</v>
      </c>
      <c r="E5778" t="s">
        <v>15</v>
      </c>
      <c r="F5778" t="s">
        <v>13227</v>
      </c>
      <c r="G5778">
        <v>2</v>
      </c>
      <c r="H5778" t="s">
        <v>93</v>
      </c>
      <c r="I5778" t="s">
        <v>209</v>
      </c>
      <c r="J5778" t="s">
        <v>95</v>
      </c>
      <c r="K5778" t="s">
        <v>20</v>
      </c>
      <c r="L5778" t="s">
        <v>96</v>
      </c>
      <c r="M5778" s="3" t="str">
        <f>HYPERLINK("..\..\Imagery\ScannedPhotos\1980\CG80-238.2.jpg")</f>
        <v>..\..\Imagery\ScannedPhotos\1980\CG80-238.2.jpg</v>
      </c>
    </row>
    <row r="5779" spans="1:14" x14ac:dyDescent="0.25">
      <c r="A5779" t="s">
        <v>2714</v>
      </c>
      <c r="B5779">
        <v>471518</v>
      </c>
      <c r="C5779">
        <v>5938237</v>
      </c>
      <c r="D5779">
        <v>21</v>
      </c>
      <c r="E5779" t="s">
        <v>15</v>
      </c>
      <c r="F5779" t="s">
        <v>13228</v>
      </c>
      <c r="G5779">
        <v>12</v>
      </c>
      <c r="H5779" t="s">
        <v>107</v>
      </c>
      <c r="I5779" t="s">
        <v>647</v>
      </c>
      <c r="J5779" t="s">
        <v>48</v>
      </c>
      <c r="K5779" t="s">
        <v>535</v>
      </c>
      <c r="L5779" t="s">
        <v>13229</v>
      </c>
      <c r="M5779" s="3" t="str">
        <f>HYPERLINK("..\..\Imagery\ScannedPhotos\1981\CG81-175.11.jpg")</f>
        <v>..\..\Imagery\ScannedPhotos\1981\CG81-175.11.jpg</v>
      </c>
    </row>
    <row r="5780" spans="1:14" x14ac:dyDescent="0.25">
      <c r="A5780" t="s">
        <v>2714</v>
      </c>
      <c r="B5780">
        <v>471518</v>
      </c>
      <c r="C5780">
        <v>5938237</v>
      </c>
      <c r="D5780">
        <v>21</v>
      </c>
      <c r="E5780" t="s">
        <v>15</v>
      </c>
      <c r="F5780" t="s">
        <v>13230</v>
      </c>
      <c r="G5780">
        <v>12</v>
      </c>
      <c r="H5780" t="s">
        <v>107</v>
      </c>
      <c r="I5780" t="s">
        <v>360</v>
      </c>
      <c r="J5780" t="s">
        <v>48</v>
      </c>
      <c r="K5780" t="s">
        <v>535</v>
      </c>
      <c r="L5780" t="s">
        <v>13231</v>
      </c>
      <c r="M5780" s="3" t="str">
        <f>HYPERLINK("..\..\Imagery\ScannedPhotos\1981\CG81-175.10.jpg")</f>
        <v>..\..\Imagery\ScannedPhotos\1981\CG81-175.10.jpg</v>
      </c>
    </row>
    <row r="5781" spans="1:14" x14ac:dyDescent="0.25">
      <c r="A5781" t="s">
        <v>2714</v>
      </c>
      <c r="B5781">
        <v>471518</v>
      </c>
      <c r="C5781">
        <v>5938237</v>
      </c>
      <c r="D5781">
        <v>21</v>
      </c>
      <c r="E5781" t="s">
        <v>15</v>
      </c>
      <c r="F5781" t="s">
        <v>13232</v>
      </c>
      <c r="G5781">
        <v>12</v>
      </c>
      <c r="H5781" t="s">
        <v>107</v>
      </c>
      <c r="I5781" t="s">
        <v>25</v>
      </c>
      <c r="J5781" t="s">
        <v>48</v>
      </c>
      <c r="K5781" t="s">
        <v>535</v>
      </c>
      <c r="L5781" t="s">
        <v>13233</v>
      </c>
      <c r="M5781" s="3" t="str">
        <f>HYPERLINK("..\..\Imagery\ScannedPhotos\1981\CG81-175.9.jpg")</f>
        <v>..\..\Imagery\ScannedPhotos\1981\CG81-175.9.jpg</v>
      </c>
    </row>
    <row r="5782" spans="1:14" x14ac:dyDescent="0.25">
      <c r="A5782" t="s">
        <v>2714</v>
      </c>
      <c r="B5782">
        <v>471518</v>
      </c>
      <c r="C5782">
        <v>5938237</v>
      </c>
      <c r="D5782">
        <v>21</v>
      </c>
      <c r="E5782" t="s">
        <v>15</v>
      </c>
      <c r="F5782" t="s">
        <v>13234</v>
      </c>
      <c r="G5782">
        <v>12</v>
      </c>
      <c r="H5782" t="s">
        <v>107</v>
      </c>
      <c r="I5782" t="s">
        <v>195</v>
      </c>
      <c r="J5782" t="s">
        <v>48</v>
      </c>
      <c r="K5782" t="s">
        <v>535</v>
      </c>
      <c r="L5782" t="s">
        <v>13235</v>
      </c>
      <c r="M5782" s="3" t="str">
        <f>HYPERLINK("..\..\Imagery\ScannedPhotos\1981\CG81-175.8.jpg")</f>
        <v>..\..\Imagery\ScannedPhotos\1981\CG81-175.8.jpg</v>
      </c>
    </row>
    <row r="5783" spans="1:14" x14ac:dyDescent="0.25">
      <c r="A5783" t="s">
        <v>2714</v>
      </c>
      <c r="B5783">
        <v>471518</v>
      </c>
      <c r="C5783">
        <v>5938237</v>
      </c>
      <c r="D5783">
        <v>21</v>
      </c>
      <c r="E5783" t="s">
        <v>15</v>
      </c>
      <c r="F5783" t="s">
        <v>13236</v>
      </c>
      <c r="G5783">
        <v>12</v>
      </c>
      <c r="H5783" t="s">
        <v>1333</v>
      </c>
      <c r="I5783" t="s">
        <v>137</v>
      </c>
      <c r="J5783" t="s">
        <v>1334</v>
      </c>
      <c r="K5783" t="s">
        <v>20</v>
      </c>
      <c r="L5783" t="s">
        <v>4822</v>
      </c>
      <c r="M5783" s="3" t="str">
        <f>HYPERLINK("..\..\Imagery\ScannedPhotos\1981\CG81-175.4.jpg")</f>
        <v>..\..\Imagery\ScannedPhotos\1981\CG81-175.4.jpg</v>
      </c>
    </row>
    <row r="5784" spans="1:14" x14ac:dyDescent="0.25">
      <c r="A5784" t="s">
        <v>13237</v>
      </c>
      <c r="B5784">
        <v>494400</v>
      </c>
      <c r="C5784">
        <v>5867775</v>
      </c>
      <c r="D5784">
        <v>21</v>
      </c>
      <c r="E5784" t="s">
        <v>15</v>
      </c>
      <c r="F5784" t="s">
        <v>13238</v>
      </c>
      <c r="G5784">
        <v>1</v>
      </c>
      <c r="H5784" t="s">
        <v>3569</v>
      </c>
      <c r="I5784" t="s">
        <v>294</v>
      </c>
      <c r="J5784" t="s">
        <v>850</v>
      </c>
      <c r="K5784" t="s">
        <v>56</v>
      </c>
      <c r="L5784" t="s">
        <v>13239</v>
      </c>
      <c r="M5784" s="3" t="str">
        <f>HYPERLINK("..\..\Imagery\ScannedPhotos\1991\VN91-048.jpg")</f>
        <v>..\..\Imagery\ScannedPhotos\1991\VN91-048.jpg</v>
      </c>
    </row>
    <row r="5785" spans="1:14" x14ac:dyDescent="0.25">
      <c r="A5785" t="s">
        <v>9948</v>
      </c>
      <c r="B5785">
        <v>494450</v>
      </c>
      <c r="C5785">
        <v>5867425</v>
      </c>
      <c r="D5785">
        <v>21</v>
      </c>
      <c r="E5785" t="s">
        <v>15</v>
      </c>
      <c r="F5785" t="s">
        <v>13240</v>
      </c>
      <c r="G5785">
        <v>2</v>
      </c>
      <c r="H5785" t="s">
        <v>3569</v>
      </c>
      <c r="I5785" t="s">
        <v>79</v>
      </c>
      <c r="J5785" t="s">
        <v>850</v>
      </c>
      <c r="K5785" t="s">
        <v>56</v>
      </c>
      <c r="L5785" t="s">
        <v>322</v>
      </c>
      <c r="M5785" s="3" t="str">
        <f>HYPERLINK("..\..\Imagery\ScannedPhotos\1991\VN91-049.1.jpg")</f>
        <v>..\..\Imagery\ScannedPhotos\1991\VN91-049.1.jpg</v>
      </c>
    </row>
    <row r="5786" spans="1:14" x14ac:dyDescent="0.25">
      <c r="A5786" t="s">
        <v>13241</v>
      </c>
      <c r="B5786">
        <v>490150</v>
      </c>
      <c r="C5786">
        <v>5802950</v>
      </c>
      <c r="D5786">
        <v>21</v>
      </c>
      <c r="E5786" t="s">
        <v>15</v>
      </c>
      <c r="F5786" t="s">
        <v>13242</v>
      </c>
      <c r="G5786">
        <v>1</v>
      </c>
      <c r="H5786" t="s">
        <v>2439</v>
      </c>
      <c r="I5786" t="s">
        <v>304</v>
      </c>
      <c r="J5786" t="s">
        <v>2440</v>
      </c>
      <c r="K5786" t="s">
        <v>228</v>
      </c>
      <c r="L5786" t="s">
        <v>13243</v>
      </c>
      <c r="M5786" s="3" t="str">
        <f>HYPERLINK("..\..\Imagery\ScannedPhotos\1992\HP92-030E.jpg")</f>
        <v>..\..\Imagery\ScannedPhotos\1992\HP92-030E.jpg</v>
      </c>
      <c r="N5786" t="s">
        <v>1808</v>
      </c>
    </row>
    <row r="5787" spans="1:14" x14ac:dyDescent="0.25">
      <c r="A5787" t="s">
        <v>13244</v>
      </c>
      <c r="B5787">
        <v>379094</v>
      </c>
      <c r="C5787">
        <v>5982569</v>
      </c>
      <c r="D5787">
        <v>21</v>
      </c>
      <c r="E5787" t="s">
        <v>15</v>
      </c>
      <c r="F5787" t="s">
        <v>13245</v>
      </c>
      <c r="G5787">
        <v>3</v>
      </c>
      <c r="H5787" t="s">
        <v>201</v>
      </c>
      <c r="I5787" t="s">
        <v>409</v>
      </c>
      <c r="J5787" t="s">
        <v>202</v>
      </c>
      <c r="K5787" t="s">
        <v>20</v>
      </c>
      <c r="L5787" t="s">
        <v>13246</v>
      </c>
      <c r="M5787" s="3" t="str">
        <f>HYPERLINK("..\..\Imagery\ScannedPhotos\1983\CG83-554.3.jpg")</f>
        <v>..\..\Imagery\ScannedPhotos\1983\CG83-554.3.jpg</v>
      </c>
    </row>
    <row r="5788" spans="1:14" x14ac:dyDescent="0.25">
      <c r="A5788" t="s">
        <v>13247</v>
      </c>
      <c r="B5788">
        <v>369034</v>
      </c>
      <c r="C5788">
        <v>5980915</v>
      </c>
      <c r="D5788">
        <v>21</v>
      </c>
      <c r="E5788" t="s">
        <v>15</v>
      </c>
      <c r="F5788" t="s">
        <v>13248</v>
      </c>
      <c r="G5788">
        <v>1</v>
      </c>
      <c r="H5788" t="s">
        <v>268</v>
      </c>
      <c r="I5788" t="s">
        <v>47</v>
      </c>
      <c r="J5788" t="s">
        <v>269</v>
      </c>
      <c r="K5788" t="s">
        <v>20</v>
      </c>
      <c r="L5788" t="s">
        <v>13249</v>
      </c>
      <c r="M5788" s="3" t="str">
        <f>HYPERLINK("..\..\Imagery\ScannedPhotos\1983\CG83-555.jpg")</f>
        <v>..\..\Imagery\ScannedPhotos\1983\CG83-555.jpg</v>
      </c>
    </row>
    <row r="5789" spans="1:14" x14ac:dyDescent="0.25">
      <c r="A5789" t="s">
        <v>13250</v>
      </c>
      <c r="B5789">
        <v>461543</v>
      </c>
      <c r="C5789">
        <v>5908590</v>
      </c>
      <c r="D5789">
        <v>21</v>
      </c>
      <c r="E5789" t="s">
        <v>15</v>
      </c>
      <c r="F5789" t="s">
        <v>13251</v>
      </c>
      <c r="G5789">
        <v>2</v>
      </c>
      <c r="H5789" t="s">
        <v>1409</v>
      </c>
      <c r="I5789" t="s">
        <v>294</v>
      </c>
      <c r="J5789" t="s">
        <v>1410</v>
      </c>
      <c r="K5789" t="s">
        <v>20</v>
      </c>
      <c r="L5789" t="s">
        <v>13252</v>
      </c>
      <c r="M5789" s="3" t="str">
        <f>HYPERLINK("..\..\Imagery\ScannedPhotos\1984\CG84-008.1.jpg")</f>
        <v>..\..\Imagery\ScannedPhotos\1984\CG84-008.1.jpg</v>
      </c>
    </row>
    <row r="5790" spans="1:14" x14ac:dyDescent="0.25">
      <c r="A5790" t="s">
        <v>13250</v>
      </c>
      <c r="B5790">
        <v>461543</v>
      </c>
      <c r="C5790">
        <v>5908590</v>
      </c>
      <c r="D5790">
        <v>21</v>
      </c>
      <c r="E5790" t="s">
        <v>15</v>
      </c>
      <c r="F5790" t="s">
        <v>13253</v>
      </c>
      <c r="G5790">
        <v>2</v>
      </c>
      <c r="H5790" t="s">
        <v>1409</v>
      </c>
      <c r="I5790" t="s">
        <v>79</v>
      </c>
      <c r="J5790" t="s">
        <v>1410</v>
      </c>
      <c r="K5790" t="s">
        <v>20</v>
      </c>
      <c r="L5790" t="s">
        <v>13252</v>
      </c>
      <c r="M5790" s="3" t="str">
        <f>HYPERLINK("..\..\Imagery\ScannedPhotos\1984\CG84-008.2.jpg")</f>
        <v>..\..\Imagery\ScannedPhotos\1984\CG84-008.2.jpg</v>
      </c>
    </row>
    <row r="5791" spans="1:14" x14ac:dyDescent="0.25">
      <c r="A5791" t="s">
        <v>13254</v>
      </c>
      <c r="B5791">
        <v>465539</v>
      </c>
      <c r="C5791">
        <v>5913019</v>
      </c>
      <c r="D5791">
        <v>21</v>
      </c>
      <c r="E5791" t="s">
        <v>15</v>
      </c>
      <c r="F5791" t="s">
        <v>13255</v>
      </c>
      <c r="G5791">
        <v>1</v>
      </c>
      <c r="H5791" t="s">
        <v>1409</v>
      </c>
      <c r="I5791" t="s">
        <v>281</v>
      </c>
      <c r="J5791" t="s">
        <v>1410</v>
      </c>
      <c r="K5791" t="s">
        <v>20</v>
      </c>
      <c r="L5791" t="s">
        <v>13256</v>
      </c>
      <c r="M5791" s="3" t="str">
        <f>HYPERLINK("..\..\Imagery\ScannedPhotos\1984\CG84-022.jpg")</f>
        <v>..\..\Imagery\ScannedPhotos\1984\CG84-022.jpg</v>
      </c>
    </row>
    <row r="5792" spans="1:14" x14ac:dyDescent="0.25">
      <c r="A5792" t="s">
        <v>13257</v>
      </c>
      <c r="B5792">
        <v>456888</v>
      </c>
      <c r="C5792">
        <v>5913572</v>
      </c>
      <c r="D5792">
        <v>21</v>
      </c>
      <c r="E5792" t="s">
        <v>15</v>
      </c>
      <c r="F5792" t="s">
        <v>13258</v>
      </c>
      <c r="G5792">
        <v>1</v>
      </c>
      <c r="H5792" t="s">
        <v>1409</v>
      </c>
      <c r="I5792" t="s">
        <v>69</v>
      </c>
      <c r="J5792" t="s">
        <v>1410</v>
      </c>
      <c r="K5792" t="s">
        <v>20</v>
      </c>
      <c r="L5792" t="s">
        <v>13259</v>
      </c>
      <c r="M5792" s="3" t="str">
        <f>HYPERLINK("..\..\Imagery\ScannedPhotos\1984\CG84-071.jpg")</f>
        <v>..\..\Imagery\ScannedPhotos\1984\CG84-071.jpg</v>
      </c>
    </row>
    <row r="5793" spans="1:14" x14ac:dyDescent="0.25">
      <c r="A5793" t="s">
        <v>13260</v>
      </c>
      <c r="B5793">
        <v>373372</v>
      </c>
      <c r="C5793">
        <v>6086122</v>
      </c>
      <c r="D5793">
        <v>21</v>
      </c>
      <c r="E5793" t="s">
        <v>15</v>
      </c>
      <c r="F5793" t="s">
        <v>13261</v>
      </c>
      <c r="G5793">
        <v>1</v>
      </c>
      <c r="H5793" t="s">
        <v>1623</v>
      </c>
      <c r="I5793" t="s">
        <v>119</v>
      </c>
      <c r="J5793" t="s">
        <v>1624</v>
      </c>
      <c r="K5793" t="s">
        <v>20</v>
      </c>
      <c r="L5793" t="s">
        <v>13262</v>
      </c>
      <c r="M5793" s="3" t="str">
        <f>HYPERLINK("..\..\Imagery\ScannedPhotos\1978\AL78-048.jpg")</f>
        <v>..\..\Imagery\ScannedPhotos\1978\AL78-048.jpg</v>
      </c>
    </row>
    <row r="5794" spans="1:14" x14ac:dyDescent="0.25">
      <c r="A5794" t="s">
        <v>13263</v>
      </c>
      <c r="B5794">
        <v>378262</v>
      </c>
      <c r="C5794">
        <v>6086403</v>
      </c>
      <c r="D5794">
        <v>21</v>
      </c>
      <c r="E5794" t="s">
        <v>15</v>
      </c>
      <c r="F5794" t="s">
        <v>13264</v>
      </c>
      <c r="G5794">
        <v>1</v>
      </c>
      <c r="H5794" t="s">
        <v>1623</v>
      </c>
      <c r="I5794" t="s">
        <v>122</v>
      </c>
      <c r="J5794" t="s">
        <v>1624</v>
      </c>
      <c r="K5794" t="s">
        <v>20</v>
      </c>
      <c r="L5794" t="s">
        <v>13265</v>
      </c>
      <c r="M5794" s="3" t="str">
        <f>HYPERLINK("..\..\Imagery\ScannedPhotos\1978\AL78-056.jpg")</f>
        <v>..\..\Imagery\ScannedPhotos\1978\AL78-056.jpg</v>
      </c>
    </row>
    <row r="5795" spans="1:14" x14ac:dyDescent="0.25">
      <c r="A5795" t="s">
        <v>13266</v>
      </c>
      <c r="B5795">
        <v>380197</v>
      </c>
      <c r="C5795">
        <v>6083783</v>
      </c>
      <c r="D5795">
        <v>21</v>
      </c>
      <c r="E5795" t="s">
        <v>15</v>
      </c>
      <c r="F5795" t="s">
        <v>13267</v>
      </c>
      <c r="G5795">
        <v>1</v>
      </c>
      <c r="H5795" t="s">
        <v>1623</v>
      </c>
      <c r="I5795" t="s">
        <v>126</v>
      </c>
      <c r="J5795" t="s">
        <v>1624</v>
      </c>
      <c r="K5795" t="s">
        <v>20</v>
      </c>
      <c r="L5795" t="s">
        <v>5231</v>
      </c>
      <c r="M5795" s="3" t="str">
        <f>HYPERLINK("..\..\Imagery\ScannedPhotos\1978\AL78-060.jpg")</f>
        <v>..\..\Imagery\ScannedPhotos\1978\AL78-060.jpg</v>
      </c>
    </row>
    <row r="5796" spans="1:14" x14ac:dyDescent="0.25">
      <c r="A5796" t="s">
        <v>13268</v>
      </c>
      <c r="B5796">
        <v>377284</v>
      </c>
      <c r="C5796">
        <v>6081822</v>
      </c>
      <c r="D5796">
        <v>21</v>
      </c>
      <c r="E5796" t="s">
        <v>15</v>
      </c>
      <c r="F5796" t="s">
        <v>13269</v>
      </c>
      <c r="G5796">
        <v>1</v>
      </c>
      <c r="H5796" t="s">
        <v>1623</v>
      </c>
      <c r="I5796" t="s">
        <v>108</v>
      </c>
      <c r="J5796" t="s">
        <v>1624</v>
      </c>
      <c r="K5796" t="s">
        <v>20</v>
      </c>
      <c r="L5796" t="s">
        <v>13270</v>
      </c>
      <c r="M5796" s="3" t="str">
        <f>HYPERLINK("..\..\Imagery\ScannedPhotos\1978\AL78-070.jpg")</f>
        <v>..\..\Imagery\ScannedPhotos\1978\AL78-070.jpg</v>
      </c>
    </row>
    <row r="5797" spans="1:14" x14ac:dyDescent="0.25">
      <c r="A5797" t="s">
        <v>13271</v>
      </c>
      <c r="B5797">
        <v>381638</v>
      </c>
      <c r="C5797">
        <v>6088802</v>
      </c>
      <c r="D5797">
        <v>21</v>
      </c>
      <c r="E5797" t="s">
        <v>15</v>
      </c>
      <c r="F5797" t="s">
        <v>13272</v>
      </c>
      <c r="G5797">
        <v>1</v>
      </c>
      <c r="H5797" t="s">
        <v>1623</v>
      </c>
      <c r="I5797" t="s">
        <v>132</v>
      </c>
      <c r="J5797" t="s">
        <v>1624</v>
      </c>
      <c r="K5797" t="s">
        <v>56</v>
      </c>
      <c r="L5797" t="s">
        <v>13273</v>
      </c>
      <c r="M5797" s="3" t="str">
        <f>HYPERLINK("..\..\Imagery\ScannedPhotos\1978\AL78-077.jpg")</f>
        <v>..\..\Imagery\ScannedPhotos\1978\AL78-077.jpg</v>
      </c>
    </row>
    <row r="5798" spans="1:14" x14ac:dyDescent="0.25">
      <c r="A5798" t="s">
        <v>13274</v>
      </c>
      <c r="B5798">
        <v>576867</v>
      </c>
      <c r="C5798">
        <v>5863642</v>
      </c>
      <c r="D5798">
        <v>21</v>
      </c>
      <c r="E5798" t="s">
        <v>15</v>
      </c>
      <c r="F5798" t="s">
        <v>13275</v>
      </c>
      <c r="G5798">
        <v>2</v>
      </c>
      <c r="H5798" t="s">
        <v>7534</v>
      </c>
      <c r="I5798" t="s">
        <v>122</v>
      </c>
      <c r="J5798" t="s">
        <v>1233</v>
      </c>
      <c r="K5798" t="s">
        <v>20</v>
      </c>
      <c r="L5798" t="s">
        <v>13276</v>
      </c>
      <c r="M5798" s="3" t="str">
        <f>HYPERLINK("..\..\Imagery\ScannedPhotos\1986\CG86-392.1.jpg")</f>
        <v>..\..\Imagery\ScannedPhotos\1986\CG86-392.1.jpg</v>
      </c>
    </row>
    <row r="5799" spans="1:14" x14ac:dyDescent="0.25">
      <c r="A5799" t="s">
        <v>13274</v>
      </c>
      <c r="B5799">
        <v>576867</v>
      </c>
      <c r="C5799">
        <v>5863642</v>
      </c>
      <c r="D5799">
        <v>21</v>
      </c>
      <c r="E5799" t="s">
        <v>15</v>
      </c>
      <c r="F5799" t="s">
        <v>13277</v>
      </c>
      <c r="G5799">
        <v>2</v>
      </c>
      <c r="H5799" t="s">
        <v>7534</v>
      </c>
      <c r="I5799" t="s">
        <v>126</v>
      </c>
      <c r="J5799" t="s">
        <v>1233</v>
      </c>
      <c r="K5799" t="s">
        <v>20</v>
      </c>
      <c r="L5799" t="s">
        <v>13276</v>
      </c>
      <c r="M5799" s="3" t="str">
        <f>HYPERLINK("..\..\Imagery\ScannedPhotos\1986\CG86-392.2.jpg")</f>
        <v>..\..\Imagery\ScannedPhotos\1986\CG86-392.2.jpg</v>
      </c>
    </row>
    <row r="5800" spans="1:14" x14ac:dyDescent="0.25">
      <c r="A5800" t="s">
        <v>13278</v>
      </c>
      <c r="B5800">
        <v>556278</v>
      </c>
      <c r="C5800">
        <v>5820784</v>
      </c>
      <c r="D5800">
        <v>21</v>
      </c>
      <c r="E5800" t="s">
        <v>15</v>
      </c>
      <c r="F5800" t="s">
        <v>13279</v>
      </c>
      <c r="G5800">
        <v>1</v>
      </c>
      <c r="H5800" t="s">
        <v>2291</v>
      </c>
      <c r="I5800" t="s">
        <v>222</v>
      </c>
      <c r="J5800" t="s">
        <v>2292</v>
      </c>
      <c r="K5800" t="s">
        <v>56</v>
      </c>
      <c r="L5800" t="s">
        <v>11347</v>
      </c>
      <c r="M5800" s="3" t="str">
        <f>HYPERLINK("..\..\Imagery\ScannedPhotos\1986\SN86-442.jpg")</f>
        <v>..\..\Imagery\ScannedPhotos\1986\SN86-442.jpg</v>
      </c>
    </row>
    <row r="5801" spans="1:14" x14ac:dyDescent="0.25">
      <c r="A5801" t="s">
        <v>7193</v>
      </c>
      <c r="B5801">
        <v>582141</v>
      </c>
      <c r="C5801">
        <v>5927434</v>
      </c>
      <c r="D5801">
        <v>21</v>
      </c>
      <c r="E5801" t="s">
        <v>15</v>
      </c>
      <c r="F5801" t="s">
        <v>13280</v>
      </c>
      <c r="G5801">
        <v>8</v>
      </c>
      <c r="H5801" t="s">
        <v>627</v>
      </c>
      <c r="I5801" t="s">
        <v>69</v>
      </c>
      <c r="J5801" t="s">
        <v>628</v>
      </c>
      <c r="K5801" t="s">
        <v>228</v>
      </c>
      <c r="L5801" t="s">
        <v>13281</v>
      </c>
      <c r="M5801" s="3" t="str">
        <f>HYPERLINK("..\..\Imagery\ScannedPhotos\1985\SP85-133.4.jpg")</f>
        <v>..\..\Imagery\ScannedPhotos\1985\SP85-133.4.jpg</v>
      </c>
    </row>
    <row r="5802" spans="1:14" x14ac:dyDescent="0.25">
      <c r="A5802" t="s">
        <v>13282</v>
      </c>
      <c r="B5802">
        <v>396357</v>
      </c>
      <c r="C5802">
        <v>5794710</v>
      </c>
      <c r="D5802">
        <v>21</v>
      </c>
      <c r="E5802" t="s">
        <v>15</v>
      </c>
      <c r="F5802" t="s">
        <v>13283</v>
      </c>
      <c r="G5802">
        <v>1</v>
      </c>
      <c r="H5802" t="s">
        <v>6227</v>
      </c>
      <c r="I5802" t="s">
        <v>132</v>
      </c>
      <c r="J5802" t="s">
        <v>6228</v>
      </c>
      <c r="K5802" t="s">
        <v>20</v>
      </c>
      <c r="L5802" t="s">
        <v>772</v>
      </c>
      <c r="M5802" s="3" t="str">
        <f>HYPERLINK("..\..\Imagery\ScannedPhotos\1999\CG99-351.jpg")</f>
        <v>..\..\Imagery\ScannedPhotos\1999\CG99-351.jpg</v>
      </c>
    </row>
    <row r="5803" spans="1:14" x14ac:dyDescent="0.25">
      <c r="A5803" t="s">
        <v>13284</v>
      </c>
      <c r="B5803">
        <v>319563</v>
      </c>
      <c r="C5803">
        <v>5826190</v>
      </c>
      <c r="D5803">
        <v>21</v>
      </c>
      <c r="E5803" t="s">
        <v>15</v>
      </c>
      <c r="F5803" t="s">
        <v>13285</v>
      </c>
      <c r="G5803">
        <v>1</v>
      </c>
      <c r="H5803" t="s">
        <v>5833</v>
      </c>
      <c r="I5803" t="s">
        <v>126</v>
      </c>
      <c r="J5803" t="s">
        <v>260</v>
      </c>
      <c r="K5803" t="s">
        <v>56</v>
      </c>
      <c r="L5803" t="s">
        <v>13286</v>
      </c>
      <c r="M5803" s="3" t="str">
        <f>HYPERLINK("..\..\Imagery\ScannedPhotos\1998\CG98-290.jpg")</f>
        <v>..\..\Imagery\ScannedPhotos\1998\CG98-290.jpg</v>
      </c>
    </row>
    <row r="5804" spans="1:14" x14ac:dyDescent="0.25">
      <c r="A5804" t="s">
        <v>12237</v>
      </c>
      <c r="B5804">
        <v>312840</v>
      </c>
      <c r="C5804">
        <v>5821654</v>
      </c>
      <c r="D5804">
        <v>21</v>
      </c>
      <c r="E5804" t="s">
        <v>15</v>
      </c>
      <c r="F5804" t="s">
        <v>13287</v>
      </c>
      <c r="G5804">
        <v>2</v>
      </c>
      <c r="H5804" t="s">
        <v>5833</v>
      </c>
      <c r="I5804" t="s">
        <v>132</v>
      </c>
      <c r="J5804" t="s">
        <v>260</v>
      </c>
      <c r="K5804" t="s">
        <v>20</v>
      </c>
      <c r="L5804" t="s">
        <v>1222</v>
      </c>
      <c r="M5804" s="3" t="str">
        <f>HYPERLINK("..\..\Imagery\ScannedPhotos\1998\CG98-292.2.jpg")</f>
        <v>..\..\Imagery\ScannedPhotos\1998\CG98-292.2.jpg</v>
      </c>
    </row>
    <row r="5805" spans="1:14" x14ac:dyDescent="0.25">
      <c r="A5805" t="s">
        <v>9758</v>
      </c>
      <c r="B5805">
        <v>441266</v>
      </c>
      <c r="C5805">
        <v>5774512</v>
      </c>
      <c r="D5805">
        <v>21</v>
      </c>
      <c r="E5805" t="s">
        <v>15</v>
      </c>
      <c r="F5805" t="s">
        <v>13288</v>
      </c>
      <c r="G5805">
        <v>3</v>
      </c>
      <c r="H5805" t="s">
        <v>9755</v>
      </c>
      <c r="I5805" t="s">
        <v>41</v>
      </c>
      <c r="J5805" t="s">
        <v>9756</v>
      </c>
      <c r="K5805" t="s">
        <v>56</v>
      </c>
      <c r="L5805" t="s">
        <v>13289</v>
      </c>
      <c r="M5805" s="3" t="str">
        <f>HYPERLINK("..\..\Imagery\ScannedPhotos\1992\HP92-140.3.jpg")</f>
        <v>..\..\Imagery\ScannedPhotos\1992\HP92-140.3.jpg</v>
      </c>
    </row>
    <row r="5806" spans="1:14" x14ac:dyDescent="0.25">
      <c r="A5806" t="s">
        <v>9758</v>
      </c>
      <c r="B5806">
        <v>441266</v>
      </c>
      <c r="C5806">
        <v>5774512</v>
      </c>
      <c r="D5806">
        <v>21</v>
      </c>
      <c r="E5806" t="s">
        <v>15</v>
      </c>
      <c r="F5806" t="s">
        <v>13290</v>
      </c>
      <c r="G5806">
        <v>3</v>
      </c>
      <c r="H5806" t="s">
        <v>9755</v>
      </c>
      <c r="I5806" t="s">
        <v>69</v>
      </c>
      <c r="J5806" t="s">
        <v>9756</v>
      </c>
      <c r="K5806" t="s">
        <v>56</v>
      </c>
      <c r="L5806" t="s">
        <v>9760</v>
      </c>
      <c r="M5806" s="3" t="str">
        <f>HYPERLINK("..\..\Imagery\ScannedPhotos\1992\HP92-140.1.jpg")</f>
        <v>..\..\Imagery\ScannedPhotos\1992\HP92-140.1.jpg</v>
      </c>
    </row>
    <row r="5807" spans="1:14" x14ac:dyDescent="0.25">
      <c r="A5807" t="s">
        <v>11455</v>
      </c>
      <c r="B5807">
        <v>443818</v>
      </c>
      <c r="C5807">
        <v>5773811</v>
      </c>
      <c r="D5807">
        <v>21</v>
      </c>
      <c r="E5807" t="s">
        <v>15</v>
      </c>
      <c r="F5807" t="s">
        <v>13291</v>
      </c>
      <c r="G5807">
        <v>9</v>
      </c>
      <c r="H5807" t="s">
        <v>9755</v>
      </c>
      <c r="I5807" t="s">
        <v>386</v>
      </c>
      <c r="J5807" t="s">
        <v>9756</v>
      </c>
      <c r="K5807" t="s">
        <v>935</v>
      </c>
      <c r="L5807" t="s">
        <v>11812</v>
      </c>
      <c r="M5807" s="3" t="str">
        <f>HYPERLINK("..\..\Imagery\ScannedPhotos\1992\HP92-143.5E.jpg")</f>
        <v>..\..\Imagery\ScannedPhotos\1992\HP92-143.5E.jpg</v>
      </c>
      <c r="N5807" t="s">
        <v>1808</v>
      </c>
    </row>
    <row r="5808" spans="1:14" x14ac:dyDescent="0.25">
      <c r="A5808" t="s">
        <v>11455</v>
      </c>
      <c r="B5808">
        <v>443818</v>
      </c>
      <c r="C5808">
        <v>5773811</v>
      </c>
      <c r="D5808">
        <v>21</v>
      </c>
      <c r="E5808" t="s">
        <v>15</v>
      </c>
      <c r="F5808" t="s">
        <v>13292</v>
      </c>
      <c r="G5808">
        <v>9</v>
      </c>
      <c r="H5808" t="s">
        <v>9755</v>
      </c>
      <c r="I5808" t="s">
        <v>94</v>
      </c>
      <c r="J5808" t="s">
        <v>9756</v>
      </c>
      <c r="K5808" t="s">
        <v>935</v>
      </c>
      <c r="L5808" t="s">
        <v>11812</v>
      </c>
      <c r="M5808" s="3" t="str">
        <f>HYPERLINK("..\..\Imagery\ScannedPhotos\1992\HP92-143.3.jpg")</f>
        <v>..\..\Imagery\ScannedPhotos\1992\HP92-143.3.jpg</v>
      </c>
    </row>
    <row r="5809" spans="1:13" x14ac:dyDescent="0.25">
      <c r="A5809" t="s">
        <v>12541</v>
      </c>
      <c r="B5809">
        <v>447828</v>
      </c>
      <c r="C5809">
        <v>5763394</v>
      </c>
      <c r="D5809">
        <v>21</v>
      </c>
      <c r="E5809" t="s">
        <v>15</v>
      </c>
      <c r="F5809" t="s">
        <v>13293</v>
      </c>
      <c r="G5809">
        <v>2</v>
      </c>
      <c r="H5809" t="s">
        <v>9755</v>
      </c>
      <c r="I5809" t="s">
        <v>30</v>
      </c>
      <c r="J5809" t="s">
        <v>9756</v>
      </c>
      <c r="K5809" t="s">
        <v>228</v>
      </c>
      <c r="L5809" t="s">
        <v>13294</v>
      </c>
      <c r="M5809" s="3" t="str">
        <f>HYPERLINK("..\..\Imagery\ScannedPhotos\1992\HP92-162.2.jpg")</f>
        <v>..\..\Imagery\ScannedPhotos\1992\HP92-162.2.jpg</v>
      </c>
    </row>
    <row r="5810" spans="1:13" x14ac:dyDescent="0.25">
      <c r="A5810" t="s">
        <v>13295</v>
      </c>
      <c r="B5810">
        <v>457830</v>
      </c>
      <c r="C5810">
        <v>5769230</v>
      </c>
      <c r="D5810">
        <v>21</v>
      </c>
      <c r="E5810" t="s">
        <v>15</v>
      </c>
      <c r="F5810" t="s">
        <v>13296</v>
      </c>
      <c r="G5810">
        <v>3</v>
      </c>
      <c r="H5810" t="s">
        <v>9755</v>
      </c>
      <c r="I5810" t="s">
        <v>122</v>
      </c>
      <c r="J5810" t="s">
        <v>9756</v>
      </c>
      <c r="K5810" t="s">
        <v>20</v>
      </c>
      <c r="L5810" t="s">
        <v>13297</v>
      </c>
      <c r="M5810" s="3" t="str">
        <f>HYPERLINK("..\..\Imagery\ScannedPhotos\1992\HP92-166.3.jpg")</f>
        <v>..\..\Imagery\ScannedPhotos\1992\HP92-166.3.jpg</v>
      </c>
    </row>
    <row r="5811" spans="1:13" x14ac:dyDescent="0.25">
      <c r="A5811" t="s">
        <v>13295</v>
      </c>
      <c r="B5811">
        <v>457830</v>
      </c>
      <c r="C5811">
        <v>5769230</v>
      </c>
      <c r="D5811">
        <v>21</v>
      </c>
      <c r="E5811" t="s">
        <v>15</v>
      </c>
      <c r="F5811" t="s">
        <v>13298</v>
      </c>
      <c r="G5811">
        <v>3</v>
      </c>
      <c r="H5811" t="s">
        <v>9755</v>
      </c>
      <c r="I5811" t="s">
        <v>114</v>
      </c>
      <c r="J5811" t="s">
        <v>9756</v>
      </c>
      <c r="K5811" t="s">
        <v>20</v>
      </c>
      <c r="L5811" t="s">
        <v>13297</v>
      </c>
      <c r="M5811" s="3" t="str">
        <f>HYPERLINK("..\..\Imagery\ScannedPhotos\1992\HP92-166.1.jpg")</f>
        <v>..\..\Imagery\ScannedPhotos\1992\HP92-166.1.jpg</v>
      </c>
    </row>
    <row r="5812" spans="1:13" x14ac:dyDescent="0.25">
      <c r="A5812" t="s">
        <v>13295</v>
      </c>
      <c r="B5812">
        <v>457830</v>
      </c>
      <c r="C5812">
        <v>5769230</v>
      </c>
      <c r="D5812">
        <v>21</v>
      </c>
      <c r="E5812" t="s">
        <v>15</v>
      </c>
      <c r="F5812" t="s">
        <v>13299</v>
      </c>
      <c r="G5812">
        <v>3</v>
      </c>
      <c r="H5812" t="s">
        <v>9755</v>
      </c>
      <c r="I5812" t="s">
        <v>119</v>
      </c>
      <c r="J5812" t="s">
        <v>9756</v>
      </c>
      <c r="K5812" t="s">
        <v>20</v>
      </c>
      <c r="L5812" t="s">
        <v>13297</v>
      </c>
      <c r="M5812" s="3" t="str">
        <f>HYPERLINK("..\..\Imagery\ScannedPhotos\1992\HP92-166.2.jpg")</f>
        <v>..\..\Imagery\ScannedPhotos\1992\HP92-166.2.jpg</v>
      </c>
    </row>
    <row r="5813" spans="1:13" x14ac:dyDescent="0.25">
      <c r="A5813" t="s">
        <v>13300</v>
      </c>
      <c r="B5813">
        <v>458600</v>
      </c>
      <c r="C5813">
        <v>5772570</v>
      </c>
      <c r="D5813">
        <v>21</v>
      </c>
      <c r="E5813" t="s">
        <v>15</v>
      </c>
      <c r="F5813" t="s">
        <v>13301</v>
      </c>
      <c r="G5813">
        <v>1</v>
      </c>
      <c r="H5813" t="s">
        <v>9755</v>
      </c>
      <c r="I5813" t="s">
        <v>126</v>
      </c>
      <c r="J5813" t="s">
        <v>9756</v>
      </c>
      <c r="K5813" t="s">
        <v>56</v>
      </c>
      <c r="L5813" t="s">
        <v>13302</v>
      </c>
      <c r="M5813" s="3" t="str">
        <f>HYPERLINK("..\..\Imagery\ScannedPhotos\1992\HP92-167.jpg")</f>
        <v>..\..\Imagery\ScannedPhotos\1992\HP92-167.jpg</v>
      </c>
    </row>
    <row r="5814" spans="1:13" x14ac:dyDescent="0.25">
      <c r="A5814" t="s">
        <v>13303</v>
      </c>
      <c r="B5814">
        <v>459040</v>
      </c>
      <c r="C5814">
        <v>5774390</v>
      </c>
      <c r="D5814">
        <v>21</v>
      </c>
      <c r="E5814" t="s">
        <v>15</v>
      </c>
      <c r="F5814" t="s">
        <v>13304</v>
      </c>
      <c r="G5814">
        <v>2</v>
      </c>
      <c r="H5814" t="s">
        <v>9755</v>
      </c>
      <c r="I5814" t="s">
        <v>132</v>
      </c>
      <c r="J5814" t="s">
        <v>9756</v>
      </c>
      <c r="K5814" t="s">
        <v>56</v>
      </c>
      <c r="L5814" t="s">
        <v>13305</v>
      </c>
      <c r="M5814" s="3" t="str">
        <f>HYPERLINK("..\..\Imagery\ScannedPhotos\1992\HP92-170.2.jpg")</f>
        <v>..\..\Imagery\ScannedPhotos\1992\HP92-170.2.jpg</v>
      </c>
    </row>
    <row r="5815" spans="1:13" x14ac:dyDescent="0.25">
      <c r="A5815" t="s">
        <v>13303</v>
      </c>
      <c r="B5815">
        <v>459040</v>
      </c>
      <c r="C5815">
        <v>5774390</v>
      </c>
      <c r="D5815">
        <v>21</v>
      </c>
      <c r="E5815" t="s">
        <v>15</v>
      </c>
      <c r="F5815" t="s">
        <v>13306</v>
      </c>
      <c r="G5815">
        <v>2</v>
      </c>
      <c r="H5815" t="s">
        <v>9755</v>
      </c>
      <c r="I5815" t="s">
        <v>108</v>
      </c>
      <c r="J5815" t="s">
        <v>9756</v>
      </c>
      <c r="K5815" t="s">
        <v>56</v>
      </c>
      <c r="L5815" t="s">
        <v>13305</v>
      </c>
      <c r="M5815" s="3" t="str">
        <f>HYPERLINK("..\..\Imagery\ScannedPhotos\1992\HP92-170.1.jpg")</f>
        <v>..\..\Imagery\ScannedPhotos\1992\HP92-170.1.jpg</v>
      </c>
    </row>
    <row r="5816" spans="1:13" x14ac:dyDescent="0.25">
      <c r="A5816" t="s">
        <v>13307</v>
      </c>
      <c r="B5816">
        <v>492638</v>
      </c>
      <c r="C5816">
        <v>5882522</v>
      </c>
      <c r="D5816">
        <v>21</v>
      </c>
      <c r="E5816" t="s">
        <v>15</v>
      </c>
      <c r="F5816" t="s">
        <v>13308</v>
      </c>
      <c r="G5816">
        <v>1</v>
      </c>
      <c r="H5816" t="s">
        <v>2912</v>
      </c>
      <c r="I5816" t="s">
        <v>30</v>
      </c>
      <c r="J5816" t="s">
        <v>2913</v>
      </c>
      <c r="K5816" t="s">
        <v>56</v>
      </c>
      <c r="L5816" t="s">
        <v>13309</v>
      </c>
      <c r="M5816" s="3" t="str">
        <f>HYPERLINK("..\..\Imagery\ScannedPhotos\1984\VN84-216.jpg")</f>
        <v>..\..\Imagery\ScannedPhotos\1984\VN84-216.jpg</v>
      </c>
    </row>
    <row r="5817" spans="1:13" x14ac:dyDescent="0.25">
      <c r="A5817" t="s">
        <v>13310</v>
      </c>
      <c r="B5817">
        <v>562569</v>
      </c>
      <c r="C5817">
        <v>5874808</v>
      </c>
      <c r="D5817">
        <v>21</v>
      </c>
      <c r="E5817" t="s">
        <v>15</v>
      </c>
      <c r="F5817" t="s">
        <v>13311</v>
      </c>
      <c r="G5817">
        <v>2</v>
      </c>
      <c r="H5817" t="s">
        <v>1796</v>
      </c>
      <c r="I5817" t="s">
        <v>69</v>
      </c>
      <c r="J5817" t="s">
        <v>1797</v>
      </c>
      <c r="K5817" t="s">
        <v>20</v>
      </c>
      <c r="L5817" t="s">
        <v>4769</v>
      </c>
      <c r="M5817" s="3" t="str">
        <f>HYPERLINK("..\..\Imagery\ScannedPhotos\1985\VN85-398.2.jpg")</f>
        <v>..\..\Imagery\ScannedPhotos\1985\VN85-398.2.jpg</v>
      </c>
    </row>
    <row r="5818" spans="1:13" x14ac:dyDescent="0.25">
      <c r="A5818" t="s">
        <v>13310</v>
      </c>
      <c r="B5818">
        <v>562569</v>
      </c>
      <c r="C5818">
        <v>5874808</v>
      </c>
      <c r="D5818">
        <v>21</v>
      </c>
      <c r="E5818" t="s">
        <v>15</v>
      </c>
      <c r="F5818" t="s">
        <v>13312</v>
      </c>
      <c r="G5818">
        <v>2</v>
      </c>
      <c r="H5818" t="s">
        <v>1796</v>
      </c>
      <c r="I5818" t="s">
        <v>35</v>
      </c>
      <c r="J5818" t="s">
        <v>1797</v>
      </c>
      <c r="K5818" t="s">
        <v>20</v>
      </c>
      <c r="L5818" t="s">
        <v>4769</v>
      </c>
      <c r="M5818" s="3" t="str">
        <f>HYPERLINK("..\..\Imagery\ScannedPhotos\1985\VN85-398.1.jpg")</f>
        <v>..\..\Imagery\ScannedPhotos\1985\VN85-398.1.jpg</v>
      </c>
    </row>
    <row r="5819" spans="1:13" x14ac:dyDescent="0.25">
      <c r="A5819" t="s">
        <v>13313</v>
      </c>
      <c r="B5819">
        <v>563073</v>
      </c>
      <c r="C5819">
        <v>5876000</v>
      </c>
      <c r="D5819">
        <v>21</v>
      </c>
      <c r="E5819" t="s">
        <v>15</v>
      </c>
      <c r="F5819" t="s">
        <v>13314</v>
      </c>
      <c r="G5819">
        <v>1</v>
      </c>
      <c r="H5819" t="s">
        <v>1796</v>
      </c>
      <c r="I5819" t="s">
        <v>74</v>
      </c>
      <c r="J5819" t="s">
        <v>1797</v>
      </c>
      <c r="K5819" t="s">
        <v>20</v>
      </c>
      <c r="L5819" t="s">
        <v>13315</v>
      </c>
      <c r="M5819" s="3" t="str">
        <f>HYPERLINK("..\..\Imagery\ScannedPhotos\1985\VN85-402.jpg")</f>
        <v>..\..\Imagery\ScannedPhotos\1985\VN85-402.jpg</v>
      </c>
    </row>
    <row r="5820" spans="1:13" x14ac:dyDescent="0.25">
      <c r="A5820" t="s">
        <v>6554</v>
      </c>
      <c r="B5820">
        <v>564776</v>
      </c>
      <c r="C5820">
        <v>5874407</v>
      </c>
      <c r="D5820">
        <v>21</v>
      </c>
      <c r="E5820" t="s">
        <v>15</v>
      </c>
      <c r="F5820" t="s">
        <v>13316</v>
      </c>
      <c r="G5820">
        <v>3</v>
      </c>
      <c r="H5820" t="s">
        <v>5650</v>
      </c>
      <c r="I5820" t="s">
        <v>214</v>
      </c>
      <c r="J5820" t="s">
        <v>13317</v>
      </c>
      <c r="K5820" t="s">
        <v>20</v>
      </c>
      <c r="L5820" t="s">
        <v>13318</v>
      </c>
      <c r="M5820" s="3" t="str">
        <f>HYPERLINK("..\..\Imagery\ScannedPhotos\1985\VN85-410.1.jpg")</f>
        <v>..\..\Imagery\ScannedPhotos\1985\VN85-410.1.jpg</v>
      </c>
    </row>
    <row r="5821" spans="1:13" x14ac:dyDescent="0.25">
      <c r="A5821" t="s">
        <v>6554</v>
      </c>
      <c r="B5821">
        <v>564776</v>
      </c>
      <c r="C5821">
        <v>5874407</v>
      </c>
      <c r="D5821">
        <v>21</v>
      </c>
      <c r="E5821" t="s">
        <v>15</v>
      </c>
      <c r="F5821" t="s">
        <v>13319</v>
      </c>
      <c r="G5821">
        <v>3</v>
      </c>
      <c r="H5821" t="s">
        <v>1796</v>
      </c>
      <c r="I5821" t="s">
        <v>375</v>
      </c>
      <c r="J5821" t="s">
        <v>1797</v>
      </c>
      <c r="K5821" t="s">
        <v>20</v>
      </c>
      <c r="L5821" t="s">
        <v>13320</v>
      </c>
      <c r="M5821" s="3" t="str">
        <f>HYPERLINK("..\..\Imagery\ScannedPhotos\1985\VN85-410.2.jpg")</f>
        <v>..\..\Imagery\ScannedPhotos\1985\VN85-410.2.jpg</v>
      </c>
    </row>
    <row r="5822" spans="1:13" x14ac:dyDescent="0.25">
      <c r="A5822" t="s">
        <v>13321</v>
      </c>
      <c r="B5822">
        <v>494044</v>
      </c>
      <c r="C5822">
        <v>5788163</v>
      </c>
      <c r="D5822">
        <v>21</v>
      </c>
      <c r="E5822" t="s">
        <v>15</v>
      </c>
      <c r="F5822" t="s">
        <v>13322</v>
      </c>
      <c r="G5822">
        <v>1</v>
      </c>
      <c r="H5822" t="s">
        <v>2344</v>
      </c>
      <c r="I5822" t="s">
        <v>360</v>
      </c>
      <c r="J5822" t="s">
        <v>2341</v>
      </c>
      <c r="K5822" t="s">
        <v>56</v>
      </c>
      <c r="L5822" t="s">
        <v>13323</v>
      </c>
      <c r="M5822" s="3" t="str">
        <f>HYPERLINK("..\..\Imagery\ScannedPhotos\1992\JA92-045.jpg")</f>
        <v>..\..\Imagery\ScannedPhotos\1992\JA92-045.jpg</v>
      </c>
    </row>
    <row r="5823" spans="1:13" x14ac:dyDescent="0.25">
      <c r="A5823" t="s">
        <v>13324</v>
      </c>
      <c r="B5823">
        <v>546981</v>
      </c>
      <c r="C5823">
        <v>5867859</v>
      </c>
      <c r="D5823">
        <v>21</v>
      </c>
      <c r="E5823" t="s">
        <v>15</v>
      </c>
      <c r="F5823" t="s">
        <v>13325</v>
      </c>
      <c r="G5823">
        <v>2</v>
      </c>
      <c r="H5823" t="s">
        <v>656</v>
      </c>
      <c r="I5823" t="s">
        <v>409</v>
      </c>
      <c r="J5823" t="s">
        <v>100</v>
      </c>
      <c r="K5823" t="s">
        <v>56</v>
      </c>
      <c r="L5823" t="s">
        <v>13326</v>
      </c>
      <c r="M5823" s="3" t="str">
        <f>HYPERLINK("..\..\Imagery\ScannedPhotos\1986\JS86-080.2.jpg")</f>
        <v>..\..\Imagery\ScannedPhotos\1986\JS86-080.2.jpg</v>
      </c>
    </row>
    <row r="5824" spans="1:13" x14ac:dyDescent="0.25">
      <c r="A5824" t="s">
        <v>13324</v>
      </c>
      <c r="B5824">
        <v>546981</v>
      </c>
      <c r="C5824">
        <v>5867859</v>
      </c>
      <c r="D5824">
        <v>21</v>
      </c>
      <c r="E5824" t="s">
        <v>15</v>
      </c>
      <c r="F5824" t="s">
        <v>13327</v>
      </c>
      <c r="G5824">
        <v>2</v>
      </c>
      <c r="H5824" t="s">
        <v>656</v>
      </c>
      <c r="I5824" t="s">
        <v>401</v>
      </c>
      <c r="J5824" t="s">
        <v>100</v>
      </c>
      <c r="K5824" t="s">
        <v>56</v>
      </c>
      <c r="L5824" t="s">
        <v>13326</v>
      </c>
      <c r="M5824" s="3" t="str">
        <f>HYPERLINK("..\..\Imagery\ScannedPhotos\1986\JS86-080.1.jpg")</f>
        <v>..\..\Imagery\ScannedPhotos\1986\JS86-080.1.jpg</v>
      </c>
    </row>
    <row r="5825" spans="1:13" x14ac:dyDescent="0.25">
      <c r="A5825" t="s">
        <v>11166</v>
      </c>
      <c r="B5825">
        <v>566600</v>
      </c>
      <c r="C5825">
        <v>5841868</v>
      </c>
      <c r="D5825">
        <v>21</v>
      </c>
      <c r="E5825" t="s">
        <v>15</v>
      </c>
      <c r="F5825" t="s">
        <v>13328</v>
      </c>
      <c r="G5825">
        <v>3</v>
      </c>
      <c r="H5825" t="s">
        <v>99</v>
      </c>
      <c r="I5825" t="s">
        <v>18</v>
      </c>
      <c r="J5825" t="s">
        <v>100</v>
      </c>
      <c r="K5825" t="s">
        <v>20</v>
      </c>
      <c r="L5825" t="s">
        <v>13329</v>
      </c>
      <c r="M5825" s="3" t="str">
        <f>HYPERLINK("..\..\Imagery\ScannedPhotos\1986\MN86-358.1.jpg")</f>
        <v>..\..\Imagery\ScannedPhotos\1986\MN86-358.1.jpg</v>
      </c>
    </row>
    <row r="5826" spans="1:13" x14ac:dyDescent="0.25">
      <c r="A5826" t="s">
        <v>13330</v>
      </c>
      <c r="B5826">
        <v>511829</v>
      </c>
      <c r="C5826">
        <v>5954692</v>
      </c>
      <c r="D5826">
        <v>21</v>
      </c>
      <c r="E5826" t="s">
        <v>15</v>
      </c>
      <c r="F5826" t="s">
        <v>13331</v>
      </c>
      <c r="G5826">
        <v>2</v>
      </c>
      <c r="H5826" t="s">
        <v>6876</v>
      </c>
      <c r="I5826" t="s">
        <v>94</v>
      </c>
      <c r="J5826" t="s">
        <v>48</v>
      </c>
      <c r="K5826" t="s">
        <v>20</v>
      </c>
      <c r="L5826" t="s">
        <v>10080</v>
      </c>
      <c r="M5826" s="3" t="str">
        <f>HYPERLINK("..\..\Imagery\ScannedPhotos\1981\VO81-020.1.jpg")</f>
        <v>..\..\Imagery\ScannedPhotos\1981\VO81-020.1.jpg</v>
      </c>
    </row>
    <row r="5827" spans="1:13" x14ac:dyDescent="0.25">
      <c r="A5827" t="s">
        <v>13330</v>
      </c>
      <c r="B5827">
        <v>511829</v>
      </c>
      <c r="C5827">
        <v>5954692</v>
      </c>
      <c r="D5827">
        <v>21</v>
      </c>
      <c r="E5827" t="s">
        <v>15</v>
      </c>
      <c r="F5827" t="s">
        <v>13332</v>
      </c>
      <c r="G5827">
        <v>2</v>
      </c>
      <c r="H5827" t="s">
        <v>6876</v>
      </c>
      <c r="I5827" t="s">
        <v>209</v>
      </c>
      <c r="J5827" t="s">
        <v>48</v>
      </c>
      <c r="K5827" t="s">
        <v>20</v>
      </c>
      <c r="L5827" t="s">
        <v>10080</v>
      </c>
      <c r="M5827" s="3" t="str">
        <f>HYPERLINK("..\..\Imagery\ScannedPhotos\1981\VO81-020.2.jpg")</f>
        <v>..\..\Imagery\ScannedPhotos\1981\VO81-020.2.jpg</v>
      </c>
    </row>
    <row r="5828" spans="1:13" x14ac:dyDescent="0.25">
      <c r="A5828" t="s">
        <v>13333</v>
      </c>
      <c r="B5828">
        <v>485407</v>
      </c>
      <c r="C5828">
        <v>5928334</v>
      </c>
      <c r="D5828">
        <v>21</v>
      </c>
      <c r="E5828" t="s">
        <v>15</v>
      </c>
      <c r="F5828" t="s">
        <v>13334</v>
      </c>
      <c r="G5828">
        <v>2</v>
      </c>
      <c r="H5828" t="s">
        <v>3587</v>
      </c>
      <c r="I5828" t="s">
        <v>418</v>
      </c>
      <c r="J5828" t="s">
        <v>3588</v>
      </c>
      <c r="K5828" t="s">
        <v>56</v>
      </c>
      <c r="L5828" t="s">
        <v>3665</v>
      </c>
      <c r="M5828" s="3" t="str">
        <f>HYPERLINK("..\..\Imagery\ScannedPhotos\1977\MC77-254.2.jpg")</f>
        <v>..\..\Imagery\ScannedPhotos\1977\MC77-254.2.jpg</v>
      </c>
    </row>
    <row r="5829" spans="1:13" x14ac:dyDescent="0.25">
      <c r="A5829" t="s">
        <v>13333</v>
      </c>
      <c r="B5829">
        <v>485407</v>
      </c>
      <c r="C5829">
        <v>5928334</v>
      </c>
      <c r="D5829">
        <v>21</v>
      </c>
      <c r="E5829" t="s">
        <v>15</v>
      </c>
      <c r="F5829" t="s">
        <v>13335</v>
      </c>
      <c r="G5829">
        <v>2</v>
      </c>
      <c r="H5829" t="s">
        <v>3587</v>
      </c>
      <c r="I5829" t="s">
        <v>222</v>
      </c>
      <c r="J5829" t="s">
        <v>3588</v>
      </c>
      <c r="K5829" t="s">
        <v>20</v>
      </c>
      <c r="L5829" t="s">
        <v>642</v>
      </c>
      <c r="M5829" s="3" t="str">
        <f>HYPERLINK("..\..\Imagery\ScannedPhotos\1977\MC77-254.1.jpg")</f>
        <v>..\..\Imagery\ScannedPhotos\1977\MC77-254.1.jpg</v>
      </c>
    </row>
    <row r="5830" spans="1:13" x14ac:dyDescent="0.25">
      <c r="A5830" t="s">
        <v>13336</v>
      </c>
      <c r="B5830">
        <v>550133</v>
      </c>
      <c r="C5830">
        <v>5818598</v>
      </c>
      <c r="D5830">
        <v>21</v>
      </c>
      <c r="E5830" t="s">
        <v>15</v>
      </c>
      <c r="F5830" t="s">
        <v>13337</v>
      </c>
      <c r="G5830">
        <v>1</v>
      </c>
      <c r="H5830" t="s">
        <v>2325</v>
      </c>
      <c r="I5830" t="s">
        <v>79</v>
      </c>
      <c r="J5830" t="s">
        <v>2019</v>
      </c>
      <c r="K5830" t="s">
        <v>20</v>
      </c>
      <c r="L5830" t="s">
        <v>13338</v>
      </c>
      <c r="M5830" s="3" t="str">
        <f>HYPERLINK("..\..\Imagery\ScannedPhotos\1986\MN86-004.jpg")</f>
        <v>..\..\Imagery\ScannedPhotos\1986\MN86-004.jpg</v>
      </c>
    </row>
    <row r="5831" spans="1:13" x14ac:dyDescent="0.25">
      <c r="A5831" t="s">
        <v>13339</v>
      </c>
      <c r="B5831">
        <v>550530</v>
      </c>
      <c r="C5831">
        <v>5817679</v>
      </c>
      <c r="D5831">
        <v>21</v>
      </c>
      <c r="E5831" t="s">
        <v>15</v>
      </c>
      <c r="F5831" t="s">
        <v>13340</v>
      </c>
      <c r="G5831">
        <v>1</v>
      </c>
      <c r="H5831" t="s">
        <v>2325</v>
      </c>
      <c r="I5831" t="s">
        <v>137</v>
      </c>
      <c r="J5831" t="s">
        <v>2019</v>
      </c>
      <c r="K5831" t="s">
        <v>20</v>
      </c>
      <c r="L5831" t="s">
        <v>13341</v>
      </c>
      <c r="M5831" s="3" t="str">
        <f>HYPERLINK("..\..\Imagery\ScannedPhotos\1986\MN86-007.jpg")</f>
        <v>..\..\Imagery\ScannedPhotos\1986\MN86-007.jpg</v>
      </c>
    </row>
    <row r="5832" spans="1:13" x14ac:dyDescent="0.25">
      <c r="A5832" t="s">
        <v>2323</v>
      </c>
      <c r="B5832">
        <v>551674</v>
      </c>
      <c r="C5832">
        <v>5817636</v>
      </c>
      <c r="D5832">
        <v>21</v>
      </c>
      <c r="E5832" t="s">
        <v>15</v>
      </c>
      <c r="F5832" t="s">
        <v>13342</v>
      </c>
      <c r="G5832">
        <v>2</v>
      </c>
      <c r="H5832" t="s">
        <v>2325</v>
      </c>
      <c r="I5832" t="s">
        <v>18</v>
      </c>
      <c r="J5832" t="s">
        <v>2019</v>
      </c>
      <c r="K5832" t="s">
        <v>56</v>
      </c>
      <c r="L5832" t="s">
        <v>13343</v>
      </c>
      <c r="M5832" s="3" t="str">
        <f>HYPERLINK("..\..\Imagery\ScannedPhotos\1986\MN86-009.1.jpg")</f>
        <v>..\..\Imagery\ScannedPhotos\1986\MN86-009.1.jpg</v>
      </c>
    </row>
    <row r="5833" spans="1:13" x14ac:dyDescent="0.25">
      <c r="A5833" t="s">
        <v>13344</v>
      </c>
      <c r="B5833">
        <v>581501</v>
      </c>
      <c r="C5833">
        <v>5819470</v>
      </c>
      <c r="D5833">
        <v>21</v>
      </c>
      <c r="E5833" t="s">
        <v>15</v>
      </c>
      <c r="F5833" t="s">
        <v>13345</v>
      </c>
      <c r="G5833">
        <v>1</v>
      </c>
      <c r="H5833" t="s">
        <v>6213</v>
      </c>
      <c r="I5833" t="s">
        <v>137</v>
      </c>
      <c r="J5833" t="s">
        <v>3202</v>
      </c>
      <c r="K5833" t="s">
        <v>20</v>
      </c>
      <c r="L5833" t="s">
        <v>13346</v>
      </c>
      <c r="M5833" s="3" t="str">
        <f>HYPERLINK("..\..\Imagery\ScannedPhotos\1986\MN86-444.jpg")</f>
        <v>..\..\Imagery\ScannedPhotos\1986\MN86-444.jpg</v>
      </c>
    </row>
    <row r="5834" spans="1:13" x14ac:dyDescent="0.25">
      <c r="A5834" t="s">
        <v>13347</v>
      </c>
      <c r="B5834">
        <v>531941</v>
      </c>
      <c r="C5834">
        <v>5825951</v>
      </c>
      <c r="D5834">
        <v>21</v>
      </c>
      <c r="E5834" t="s">
        <v>15</v>
      </c>
      <c r="F5834" t="s">
        <v>13348</v>
      </c>
      <c r="G5834">
        <v>1</v>
      </c>
      <c r="H5834" t="s">
        <v>6213</v>
      </c>
      <c r="I5834" t="s">
        <v>74</v>
      </c>
      <c r="J5834" t="s">
        <v>3202</v>
      </c>
      <c r="K5834" t="s">
        <v>20</v>
      </c>
      <c r="L5834" t="s">
        <v>13349</v>
      </c>
      <c r="M5834" s="3" t="str">
        <f>HYPERLINK("..\..\Imagery\ScannedPhotos\1986\MN86-451.jpg")</f>
        <v>..\..\Imagery\ScannedPhotos\1986\MN86-451.jpg</v>
      </c>
    </row>
    <row r="5835" spans="1:13" x14ac:dyDescent="0.25">
      <c r="A5835" t="s">
        <v>5358</v>
      </c>
      <c r="B5835">
        <v>578634</v>
      </c>
      <c r="C5835">
        <v>5920832</v>
      </c>
      <c r="D5835">
        <v>21</v>
      </c>
      <c r="E5835" t="s">
        <v>15</v>
      </c>
      <c r="F5835" t="s">
        <v>13350</v>
      </c>
      <c r="G5835">
        <v>7</v>
      </c>
      <c r="H5835" t="s">
        <v>1994</v>
      </c>
      <c r="I5835" t="s">
        <v>30</v>
      </c>
      <c r="J5835" t="s">
        <v>138</v>
      </c>
      <c r="K5835" t="s">
        <v>20</v>
      </c>
      <c r="L5835" t="s">
        <v>5484</v>
      </c>
      <c r="M5835" s="3" t="str">
        <f>HYPERLINK("..\..\Imagery\ScannedPhotos\1985\GM85-592.5.jpg")</f>
        <v>..\..\Imagery\ScannedPhotos\1985\GM85-592.5.jpg</v>
      </c>
    </row>
    <row r="5836" spans="1:13" x14ac:dyDescent="0.25">
      <c r="A5836" t="s">
        <v>13351</v>
      </c>
      <c r="B5836">
        <v>540298</v>
      </c>
      <c r="C5836">
        <v>5734834</v>
      </c>
      <c r="D5836">
        <v>21</v>
      </c>
      <c r="E5836" t="s">
        <v>15</v>
      </c>
      <c r="F5836" t="s">
        <v>13352</v>
      </c>
      <c r="G5836">
        <v>1</v>
      </c>
      <c r="K5836" t="s">
        <v>56</v>
      </c>
      <c r="L5836" t="s">
        <v>8115</v>
      </c>
      <c r="M5836" s="3" t="str">
        <f>HYPERLINK("..\..\Imagery\ScannedPhotos\2003\CG03-006.jpg")</f>
        <v>..\..\Imagery\ScannedPhotos\2003\CG03-006.jpg</v>
      </c>
    </row>
    <row r="5837" spans="1:13" x14ac:dyDescent="0.25">
      <c r="A5837" t="s">
        <v>13353</v>
      </c>
      <c r="B5837">
        <v>540330</v>
      </c>
      <c r="C5837">
        <v>5735273</v>
      </c>
      <c r="D5837">
        <v>21</v>
      </c>
      <c r="E5837" t="s">
        <v>15</v>
      </c>
      <c r="F5837" t="s">
        <v>13354</v>
      </c>
      <c r="G5837">
        <v>1</v>
      </c>
      <c r="K5837" t="s">
        <v>56</v>
      </c>
      <c r="L5837" t="s">
        <v>13355</v>
      </c>
      <c r="M5837" s="3" t="str">
        <f>HYPERLINK("..\..\Imagery\ScannedPhotos\2003\CG03-007.jpg")</f>
        <v>..\..\Imagery\ScannedPhotos\2003\CG03-007.jpg</v>
      </c>
    </row>
    <row r="5838" spans="1:13" x14ac:dyDescent="0.25">
      <c r="A5838" t="s">
        <v>13356</v>
      </c>
      <c r="B5838">
        <v>577744</v>
      </c>
      <c r="C5838">
        <v>5800422</v>
      </c>
      <c r="D5838">
        <v>21</v>
      </c>
      <c r="E5838" t="s">
        <v>15</v>
      </c>
      <c r="F5838" t="s">
        <v>13357</v>
      </c>
      <c r="G5838">
        <v>1</v>
      </c>
      <c r="H5838" t="s">
        <v>3016</v>
      </c>
      <c r="I5838" t="s">
        <v>25</v>
      </c>
      <c r="J5838" t="s">
        <v>1651</v>
      </c>
      <c r="K5838" t="s">
        <v>20</v>
      </c>
      <c r="L5838" t="s">
        <v>13358</v>
      </c>
      <c r="M5838" s="3" t="str">
        <f>HYPERLINK("..\..\Imagery\ScannedPhotos\1987\XX87-053.jpg")</f>
        <v>..\..\Imagery\ScannedPhotos\1987\XX87-053.jpg</v>
      </c>
    </row>
    <row r="5839" spans="1:13" x14ac:dyDescent="0.25">
      <c r="A5839" t="s">
        <v>6343</v>
      </c>
      <c r="B5839">
        <v>588767</v>
      </c>
      <c r="C5839">
        <v>5773125</v>
      </c>
      <c r="D5839">
        <v>21</v>
      </c>
      <c r="E5839" t="s">
        <v>15</v>
      </c>
      <c r="F5839" t="s">
        <v>13359</v>
      </c>
      <c r="G5839">
        <v>4</v>
      </c>
      <c r="H5839" t="s">
        <v>1513</v>
      </c>
      <c r="I5839" t="s">
        <v>375</v>
      </c>
      <c r="J5839" t="s">
        <v>1514</v>
      </c>
      <c r="K5839" t="s">
        <v>20</v>
      </c>
      <c r="L5839" t="s">
        <v>13360</v>
      </c>
      <c r="M5839" s="3" t="str">
        <f>HYPERLINK("..\..\Imagery\ScannedPhotos\1992\VO92-020.1.jpg")</f>
        <v>..\..\Imagery\ScannedPhotos\1992\VO92-020.1.jpg</v>
      </c>
    </row>
    <row r="5840" spans="1:13" x14ac:dyDescent="0.25">
      <c r="A5840" t="s">
        <v>13361</v>
      </c>
      <c r="B5840">
        <v>476700</v>
      </c>
      <c r="C5840">
        <v>5828050</v>
      </c>
      <c r="D5840">
        <v>21</v>
      </c>
      <c r="E5840" t="s">
        <v>15</v>
      </c>
      <c r="F5840" t="s">
        <v>13362</v>
      </c>
      <c r="G5840">
        <v>1</v>
      </c>
      <c r="H5840" t="s">
        <v>412</v>
      </c>
      <c r="I5840" t="s">
        <v>137</v>
      </c>
      <c r="J5840" t="s">
        <v>413</v>
      </c>
      <c r="K5840" t="s">
        <v>20</v>
      </c>
      <c r="L5840" t="s">
        <v>13363</v>
      </c>
      <c r="M5840" s="3" t="str">
        <f>HYPERLINK("..\..\Imagery\ScannedPhotos\1991\DD91-076.jpg")</f>
        <v>..\..\Imagery\ScannedPhotos\1991\DD91-076.jpg</v>
      </c>
    </row>
    <row r="5841" spans="1:13" x14ac:dyDescent="0.25">
      <c r="A5841" t="s">
        <v>13364</v>
      </c>
      <c r="B5841">
        <v>476025</v>
      </c>
      <c r="C5841">
        <v>5827150</v>
      </c>
      <c r="D5841">
        <v>21</v>
      </c>
      <c r="E5841" t="s">
        <v>15</v>
      </c>
      <c r="F5841" t="s">
        <v>13365</v>
      </c>
      <c r="G5841">
        <v>1</v>
      </c>
      <c r="H5841" t="s">
        <v>412</v>
      </c>
      <c r="I5841" t="s">
        <v>18</v>
      </c>
      <c r="J5841" t="s">
        <v>413</v>
      </c>
      <c r="K5841" t="s">
        <v>20</v>
      </c>
      <c r="L5841" t="s">
        <v>13366</v>
      </c>
      <c r="M5841" s="3" t="str">
        <f>HYPERLINK("..\..\Imagery\ScannedPhotos\1991\DD91-077.jpg")</f>
        <v>..\..\Imagery\ScannedPhotos\1991\DD91-077.jpg</v>
      </c>
    </row>
    <row r="5842" spans="1:13" x14ac:dyDescent="0.25">
      <c r="A5842" t="s">
        <v>12632</v>
      </c>
      <c r="B5842">
        <v>485283</v>
      </c>
      <c r="C5842">
        <v>5852040</v>
      </c>
      <c r="D5842">
        <v>21</v>
      </c>
      <c r="E5842" t="s">
        <v>15</v>
      </c>
      <c r="F5842" t="s">
        <v>13367</v>
      </c>
      <c r="G5842">
        <v>3</v>
      </c>
      <c r="H5842" t="s">
        <v>412</v>
      </c>
      <c r="I5842" t="s">
        <v>35</v>
      </c>
      <c r="J5842" t="s">
        <v>413</v>
      </c>
      <c r="K5842" t="s">
        <v>20</v>
      </c>
      <c r="L5842" t="s">
        <v>13368</v>
      </c>
      <c r="M5842" s="3" t="str">
        <f>HYPERLINK("..\..\Imagery\ScannedPhotos\1991\DD91-080.1.jpg")</f>
        <v>..\..\Imagery\ScannedPhotos\1991\DD91-080.1.jpg</v>
      </c>
    </row>
    <row r="5843" spans="1:13" x14ac:dyDescent="0.25">
      <c r="A5843" t="s">
        <v>12632</v>
      </c>
      <c r="B5843">
        <v>485283</v>
      </c>
      <c r="C5843">
        <v>5852040</v>
      </c>
      <c r="D5843">
        <v>21</v>
      </c>
      <c r="E5843" t="s">
        <v>15</v>
      </c>
      <c r="F5843" t="s">
        <v>13369</v>
      </c>
      <c r="G5843">
        <v>3</v>
      </c>
      <c r="H5843" t="s">
        <v>412</v>
      </c>
      <c r="I5843" t="s">
        <v>74</v>
      </c>
      <c r="J5843" t="s">
        <v>413</v>
      </c>
      <c r="K5843" t="s">
        <v>20</v>
      </c>
      <c r="L5843" t="s">
        <v>13370</v>
      </c>
      <c r="M5843" s="3" t="str">
        <f>HYPERLINK("..\..\Imagery\ScannedPhotos\1991\DD91-080.3.jpg")</f>
        <v>..\..\Imagery\ScannedPhotos\1991\DD91-080.3.jpg</v>
      </c>
    </row>
    <row r="5844" spans="1:13" x14ac:dyDescent="0.25">
      <c r="A5844" t="s">
        <v>13371</v>
      </c>
      <c r="B5844">
        <v>485742</v>
      </c>
      <c r="C5844">
        <v>5852280</v>
      </c>
      <c r="D5844">
        <v>21</v>
      </c>
      <c r="E5844" t="s">
        <v>15</v>
      </c>
      <c r="F5844" t="s">
        <v>13372</v>
      </c>
      <c r="G5844">
        <v>1</v>
      </c>
      <c r="H5844" t="s">
        <v>412</v>
      </c>
      <c r="I5844" t="s">
        <v>41</v>
      </c>
      <c r="J5844" t="s">
        <v>413</v>
      </c>
      <c r="K5844" t="s">
        <v>20</v>
      </c>
      <c r="L5844" t="s">
        <v>322</v>
      </c>
      <c r="M5844" s="3" t="str">
        <f>HYPERLINK("..\..\Imagery\ScannedPhotos\1991\DD91-082.jpg")</f>
        <v>..\..\Imagery\ScannedPhotos\1991\DD91-082.jpg</v>
      </c>
    </row>
    <row r="5845" spans="1:13" x14ac:dyDescent="0.25">
      <c r="A5845" t="s">
        <v>13373</v>
      </c>
      <c r="B5845">
        <v>478825</v>
      </c>
      <c r="C5845">
        <v>5868375</v>
      </c>
      <c r="D5845">
        <v>21</v>
      </c>
      <c r="E5845" t="s">
        <v>15</v>
      </c>
      <c r="F5845" t="s">
        <v>13374</v>
      </c>
      <c r="G5845">
        <v>2</v>
      </c>
      <c r="H5845" t="s">
        <v>616</v>
      </c>
      <c r="I5845" t="s">
        <v>69</v>
      </c>
      <c r="J5845" t="s">
        <v>413</v>
      </c>
      <c r="K5845" t="s">
        <v>20</v>
      </c>
      <c r="L5845" t="s">
        <v>13375</v>
      </c>
      <c r="M5845" s="3" t="str">
        <f>HYPERLINK("..\..\Imagery\ScannedPhotos\1991\DD91-026.1.jpg")</f>
        <v>..\..\Imagery\ScannedPhotos\1991\DD91-026.1.jpg</v>
      </c>
    </row>
    <row r="5846" spans="1:13" x14ac:dyDescent="0.25">
      <c r="A5846" t="s">
        <v>13373</v>
      </c>
      <c r="B5846">
        <v>478825</v>
      </c>
      <c r="C5846">
        <v>5868375</v>
      </c>
      <c r="D5846">
        <v>21</v>
      </c>
      <c r="E5846" t="s">
        <v>15</v>
      </c>
      <c r="F5846" t="s">
        <v>13376</v>
      </c>
      <c r="G5846">
        <v>2</v>
      </c>
      <c r="H5846" t="s">
        <v>616</v>
      </c>
      <c r="I5846" t="s">
        <v>74</v>
      </c>
      <c r="J5846" t="s">
        <v>413</v>
      </c>
      <c r="K5846" t="s">
        <v>20</v>
      </c>
      <c r="L5846" t="s">
        <v>13375</v>
      </c>
      <c r="M5846" s="3" t="str">
        <f>HYPERLINK("..\..\Imagery\ScannedPhotos\1991\DD91-026.2.jpg")</f>
        <v>..\..\Imagery\ScannedPhotos\1991\DD91-026.2.jpg</v>
      </c>
    </row>
    <row r="5847" spans="1:13" x14ac:dyDescent="0.25">
      <c r="A5847" t="s">
        <v>13377</v>
      </c>
      <c r="B5847">
        <v>477517</v>
      </c>
      <c r="C5847">
        <v>5866443</v>
      </c>
      <c r="D5847">
        <v>21</v>
      </c>
      <c r="E5847" t="s">
        <v>15</v>
      </c>
      <c r="F5847" t="s">
        <v>13378</v>
      </c>
      <c r="G5847">
        <v>1</v>
      </c>
      <c r="H5847" t="s">
        <v>616</v>
      </c>
      <c r="I5847" t="s">
        <v>41</v>
      </c>
      <c r="J5847" t="s">
        <v>413</v>
      </c>
      <c r="K5847" t="s">
        <v>56</v>
      </c>
      <c r="L5847" t="s">
        <v>3148</v>
      </c>
      <c r="M5847" s="3" t="str">
        <f>HYPERLINK("..\..\Imagery\ScannedPhotos\1991\DD91-028.jpg")</f>
        <v>..\..\Imagery\ScannedPhotos\1991\DD91-028.jpg</v>
      </c>
    </row>
    <row r="5848" spans="1:13" x14ac:dyDescent="0.25">
      <c r="A5848" t="s">
        <v>11655</v>
      </c>
      <c r="B5848">
        <v>444013</v>
      </c>
      <c r="C5848">
        <v>5802980</v>
      </c>
      <c r="D5848">
        <v>21</v>
      </c>
      <c r="E5848" t="s">
        <v>15</v>
      </c>
      <c r="F5848" t="s">
        <v>13379</v>
      </c>
      <c r="G5848">
        <v>6</v>
      </c>
      <c r="H5848" t="s">
        <v>5587</v>
      </c>
      <c r="I5848" t="s">
        <v>214</v>
      </c>
      <c r="J5848" t="s">
        <v>2341</v>
      </c>
      <c r="K5848" t="s">
        <v>56</v>
      </c>
      <c r="L5848" t="s">
        <v>13380</v>
      </c>
      <c r="M5848" s="3" t="str">
        <f>HYPERLINK("..\..\Imagery\ScannedPhotos\1992\VN92-108.6.jpg")</f>
        <v>..\..\Imagery\ScannedPhotos\1992\VN92-108.6.jpg</v>
      </c>
    </row>
    <row r="5849" spans="1:13" x14ac:dyDescent="0.25">
      <c r="A5849" t="s">
        <v>13381</v>
      </c>
      <c r="B5849">
        <v>490032</v>
      </c>
      <c r="C5849">
        <v>5796897</v>
      </c>
      <c r="D5849">
        <v>21</v>
      </c>
      <c r="E5849" t="s">
        <v>15</v>
      </c>
      <c r="F5849" t="s">
        <v>13382</v>
      </c>
      <c r="G5849">
        <v>2</v>
      </c>
      <c r="H5849" t="s">
        <v>5587</v>
      </c>
      <c r="I5849" t="s">
        <v>195</v>
      </c>
      <c r="J5849" t="s">
        <v>2341</v>
      </c>
      <c r="K5849" t="s">
        <v>20</v>
      </c>
      <c r="L5849" t="s">
        <v>6248</v>
      </c>
      <c r="M5849" s="3" t="str">
        <f>HYPERLINK("..\..\Imagery\ScannedPhotos\1992\VN92-114.2.jpg")</f>
        <v>..\..\Imagery\ScannedPhotos\1992\VN92-114.2.jpg</v>
      </c>
    </row>
    <row r="5850" spans="1:13" x14ac:dyDescent="0.25">
      <c r="A5850" t="s">
        <v>13381</v>
      </c>
      <c r="B5850">
        <v>490032</v>
      </c>
      <c r="C5850">
        <v>5796897</v>
      </c>
      <c r="D5850">
        <v>21</v>
      </c>
      <c r="E5850" t="s">
        <v>15</v>
      </c>
      <c r="F5850" t="s">
        <v>13383</v>
      </c>
      <c r="G5850">
        <v>2</v>
      </c>
      <c r="H5850" t="s">
        <v>5587</v>
      </c>
      <c r="I5850" t="s">
        <v>304</v>
      </c>
      <c r="J5850" t="s">
        <v>2341</v>
      </c>
      <c r="K5850" t="s">
        <v>20</v>
      </c>
      <c r="L5850" t="s">
        <v>6248</v>
      </c>
      <c r="M5850" s="3" t="str">
        <f>HYPERLINK("..\..\Imagery\ScannedPhotos\1992\VN92-114.1.jpg")</f>
        <v>..\..\Imagery\ScannedPhotos\1992\VN92-114.1.jpg</v>
      </c>
    </row>
    <row r="5851" spans="1:13" x14ac:dyDescent="0.25">
      <c r="A5851" t="s">
        <v>13384</v>
      </c>
      <c r="B5851">
        <v>491350</v>
      </c>
      <c r="C5851">
        <v>5798300</v>
      </c>
      <c r="D5851">
        <v>21</v>
      </c>
      <c r="E5851" t="s">
        <v>15</v>
      </c>
      <c r="F5851" t="s">
        <v>13385</v>
      </c>
      <c r="G5851">
        <v>1</v>
      </c>
      <c r="H5851" t="s">
        <v>5587</v>
      </c>
      <c r="I5851" t="s">
        <v>25</v>
      </c>
      <c r="J5851" t="s">
        <v>2341</v>
      </c>
      <c r="K5851" t="s">
        <v>56</v>
      </c>
      <c r="L5851" t="s">
        <v>13386</v>
      </c>
      <c r="M5851" s="3" t="str">
        <f>HYPERLINK("..\..\Imagery\ScannedPhotos\1992\VN92-117.jpg")</f>
        <v>..\..\Imagery\ScannedPhotos\1992\VN92-117.jpg</v>
      </c>
    </row>
    <row r="5852" spans="1:13" x14ac:dyDescent="0.25">
      <c r="A5852" t="s">
        <v>7619</v>
      </c>
      <c r="B5852">
        <v>491550</v>
      </c>
      <c r="C5852">
        <v>5797907</v>
      </c>
      <c r="D5852">
        <v>21</v>
      </c>
      <c r="E5852" t="s">
        <v>15</v>
      </c>
      <c r="F5852" t="s">
        <v>13387</v>
      </c>
      <c r="G5852">
        <v>5</v>
      </c>
      <c r="H5852" t="s">
        <v>5587</v>
      </c>
      <c r="I5852" t="s">
        <v>119</v>
      </c>
      <c r="J5852" t="s">
        <v>2341</v>
      </c>
      <c r="K5852" t="s">
        <v>56</v>
      </c>
      <c r="L5852" t="s">
        <v>12467</v>
      </c>
      <c r="M5852" s="3" t="str">
        <f>HYPERLINK("..\..\Imagery\ScannedPhotos\1992\VN92-118.5.jpg")</f>
        <v>..\..\Imagery\ScannedPhotos\1992\VN92-118.5.jpg</v>
      </c>
    </row>
    <row r="5853" spans="1:13" x14ac:dyDescent="0.25">
      <c r="A5853" t="s">
        <v>13388</v>
      </c>
      <c r="B5853">
        <v>479425</v>
      </c>
      <c r="C5853">
        <v>5868750</v>
      </c>
      <c r="D5853">
        <v>21</v>
      </c>
      <c r="E5853" t="s">
        <v>15</v>
      </c>
      <c r="F5853" t="s">
        <v>13389</v>
      </c>
      <c r="G5853">
        <v>5</v>
      </c>
      <c r="H5853" t="s">
        <v>616</v>
      </c>
      <c r="I5853" t="s">
        <v>137</v>
      </c>
      <c r="J5853" t="s">
        <v>413</v>
      </c>
      <c r="K5853" t="s">
        <v>56</v>
      </c>
      <c r="L5853" t="s">
        <v>13390</v>
      </c>
      <c r="M5853" s="3" t="str">
        <f>HYPERLINK("..\..\Imagery\ScannedPhotos\1991\DD91-025.3.jpg")</f>
        <v>..\..\Imagery\ScannedPhotos\1991\DD91-025.3.jpg</v>
      </c>
    </row>
    <row r="5854" spans="1:13" x14ac:dyDescent="0.25">
      <c r="A5854" t="s">
        <v>13388</v>
      </c>
      <c r="B5854">
        <v>479425</v>
      </c>
      <c r="C5854">
        <v>5868750</v>
      </c>
      <c r="D5854">
        <v>21</v>
      </c>
      <c r="E5854" t="s">
        <v>15</v>
      </c>
      <c r="F5854" t="s">
        <v>13391</v>
      </c>
      <c r="G5854">
        <v>5</v>
      </c>
      <c r="H5854" t="s">
        <v>616</v>
      </c>
      <c r="I5854" t="s">
        <v>18</v>
      </c>
      <c r="J5854" t="s">
        <v>413</v>
      </c>
      <c r="K5854" t="s">
        <v>56</v>
      </c>
      <c r="L5854" t="s">
        <v>13390</v>
      </c>
      <c r="M5854" s="3" t="str">
        <f>HYPERLINK("..\..\Imagery\ScannedPhotos\1991\DD91-025.4.jpg")</f>
        <v>..\..\Imagery\ScannedPhotos\1991\DD91-025.4.jpg</v>
      </c>
    </row>
    <row r="5855" spans="1:13" x14ac:dyDescent="0.25">
      <c r="A5855" t="s">
        <v>13388</v>
      </c>
      <c r="B5855">
        <v>479425</v>
      </c>
      <c r="C5855">
        <v>5868750</v>
      </c>
      <c r="D5855">
        <v>21</v>
      </c>
      <c r="E5855" t="s">
        <v>15</v>
      </c>
      <c r="F5855" t="s">
        <v>13392</v>
      </c>
      <c r="G5855">
        <v>5</v>
      </c>
      <c r="H5855" t="s">
        <v>616</v>
      </c>
      <c r="I5855" t="s">
        <v>35</v>
      </c>
      <c r="J5855" t="s">
        <v>413</v>
      </c>
      <c r="K5855" t="s">
        <v>20</v>
      </c>
      <c r="L5855" t="s">
        <v>13390</v>
      </c>
      <c r="M5855" s="3" t="str">
        <f>HYPERLINK("..\..\Imagery\ScannedPhotos\1991\DD91-025.5.jpg")</f>
        <v>..\..\Imagery\ScannedPhotos\1991\DD91-025.5.jpg</v>
      </c>
    </row>
    <row r="5856" spans="1:13" x14ac:dyDescent="0.25">
      <c r="A5856" t="s">
        <v>13388</v>
      </c>
      <c r="B5856">
        <v>479425</v>
      </c>
      <c r="C5856">
        <v>5868750</v>
      </c>
      <c r="D5856">
        <v>21</v>
      </c>
      <c r="E5856" t="s">
        <v>15</v>
      </c>
      <c r="F5856" t="s">
        <v>13393</v>
      </c>
      <c r="G5856">
        <v>5</v>
      </c>
      <c r="H5856" t="s">
        <v>616</v>
      </c>
      <c r="I5856" t="s">
        <v>79</v>
      </c>
      <c r="J5856" t="s">
        <v>413</v>
      </c>
      <c r="K5856" t="s">
        <v>20</v>
      </c>
      <c r="L5856" t="s">
        <v>13394</v>
      </c>
      <c r="M5856" s="3" t="str">
        <f>HYPERLINK("..\..\Imagery\ScannedPhotos\1991\DD91-025.1.jpg")</f>
        <v>..\..\Imagery\ScannedPhotos\1991\DD91-025.1.jpg</v>
      </c>
    </row>
    <row r="5857" spans="1:13" x14ac:dyDescent="0.25">
      <c r="A5857" t="s">
        <v>13388</v>
      </c>
      <c r="B5857">
        <v>479425</v>
      </c>
      <c r="C5857">
        <v>5868750</v>
      </c>
      <c r="D5857">
        <v>21</v>
      </c>
      <c r="E5857" t="s">
        <v>15</v>
      </c>
      <c r="F5857" t="s">
        <v>13395</v>
      </c>
      <c r="G5857">
        <v>5</v>
      </c>
      <c r="H5857" t="s">
        <v>616</v>
      </c>
      <c r="I5857" t="s">
        <v>281</v>
      </c>
      <c r="J5857" t="s">
        <v>413</v>
      </c>
      <c r="K5857" t="s">
        <v>56</v>
      </c>
      <c r="L5857" t="s">
        <v>322</v>
      </c>
      <c r="M5857" s="3" t="str">
        <f>HYPERLINK("..\..\Imagery\ScannedPhotos\1991\DD91-025.2.jpg")</f>
        <v>..\..\Imagery\ScannedPhotos\1991\DD91-025.2.jpg</v>
      </c>
    </row>
    <row r="5858" spans="1:13" x14ac:dyDescent="0.25">
      <c r="A5858" t="s">
        <v>12183</v>
      </c>
      <c r="B5858">
        <v>539953</v>
      </c>
      <c r="C5858">
        <v>5746447</v>
      </c>
      <c r="D5858">
        <v>21</v>
      </c>
      <c r="E5858" t="s">
        <v>15</v>
      </c>
      <c r="F5858" t="s">
        <v>13396</v>
      </c>
      <c r="G5858">
        <v>2</v>
      </c>
      <c r="H5858" t="s">
        <v>6322</v>
      </c>
      <c r="I5858" t="s">
        <v>147</v>
      </c>
      <c r="J5858" t="s">
        <v>996</v>
      </c>
      <c r="K5858" t="s">
        <v>20</v>
      </c>
      <c r="L5858" t="s">
        <v>12185</v>
      </c>
      <c r="M5858" s="3" t="str">
        <f>HYPERLINK("..\..\Imagery\ScannedPhotos\1993\VN93-526.2.jpg")</f>
        <v>..\..\Imagery\ScannedPhotos\1993\VN93-526.2.jpg</v>
      </c>
    </row>
    <row r="5859" spans="1:13" x14ac:dyDescent="0.25">
      <c r="A5859" t="s">
        <v>9824</v>
      </c>
      <c r="B5859">
        <v>591265</v>
      </c>
      <c r="C5859">
        <v>5786807</v>
      </c>
      <c r="D5859">
        <v>21</v>
      </c>
      <c r="E5859" t="s">
        <v>15</v>
      </c>
      <c r="F5859" t="s">
        <v>13397</v>
      </c>
      <c r="G5859">
        <v>6</v>
      </c>
      <c r="H5859" t="s">
        <v>2984</v>
      </c>
      <c r="I5859" t="s">
        <v>69</v>
      </c>
      <c r="J5859" t="s">
        <v>19</v>
      </c>
      <c r="K5859" t="s">
        <v>56</v>
      </c>
      <c r="L5859" t="s">
        <v>9829</v>
      </c>
      <c r="M5859" s="3" t="str">
        <f>HYPERLINK("..\..\Imagery\ScannedPhotos\1987\CG87-455.3.jpg")</f>
        <v>..\..\Imagery\ScannedPhotos\1987\CG87-455.3.jpg</v>
      </c>
    </row>
    <row r="5860" spans="1:13" x14ac:dyDescent="0.25">
      <c r="A5860" t="s">
        <v>11166</v>
      </c>
      <c r="B5860">
        <v>566600</v>
      </c>
      <c r="C5860">
        <v>5841868</v>
      </c>
      <c r="D5860">
        <v>21</v>
      </c>
      <c r="E5860" t="s">
        <v>15</v>
      </c>
      <c r="F5860" t="s">
        <v>13398</v>
      </c>
      <c r="G5860">
        <v>3</v>
      </c>
      <c r="H5860" t="s">
        <v>99</v>
      </c>
      <c r="I5860" t="s">
        <v>69</v>
      </c>
      <c r="J5860" t="s">
        <v>100</v>
      </c>
      <c r="K5860" t="s">
        <v>20</v>
      </c>
      <c r="L5860" t="s">
        <v>13399</v>
      </c>
      <c r="M5860" s="3" t="str">
        <f>HYPERLINK("..\..\Imagery\ScannedPhotos\1986\MN86-358.3.jpg")</f>
        <v>..\..\Imagery\ScannedPhotos\1986\MN86-358.3.jpg</v>
      </c>
    </row>
    <row r="5861" spans="1:13" x14ac:dyDescent="0.25">
      <c r="A5861" t="s">
        <v>2511</v>
      </c>
      <c r="B5861">
        <v>409024</v>
      </c>
      <c r="C5861">
        <v>5994803</v>
      </c>
      <c r="D5861">
        <v>21</v>
      </c>
      <c r="E5861" t="s">
        <v>15</v>
      </c>
      <c r="F5861" t="s">
        <v>13400</v>
      </c>
      <c r="G5861">
        <v>4</v>
      </c>
      <c r="H5861" t="s">
        <v>2319</v>
      </c>
      <c r="I5861" t="s">
        <v>222</v>
      </c>
      <c r="J5861" t="s">
        <v>759</v>
      </c>
      <c r="K5861" t="s">
        <v>20</v>
      </c>
      <c r="L5861" t="s">
        <v>8770</v>
      </c>
      <c r="M5861" s="3" t="str">
        <f>HYPERLINK("..\..\Imagery\ScannedPhotos\1980\RG80-005.2.jpg")</f>
        <v>..\..\Imagery\ScannedPhotos\1980\RG80-005.2.jpg</v>
      </c>
    </row>
    <row r="5862" spans="1:13" x14ac:dyDescent="0.25">
      <c r="A5862" t="s">
        <v>2511</v>
      </c>
      <c r="B5862">
        <v>409024</v>
      </c>
      <c r="C5862">
        <v>5994803</v>
      </c>
      <c r="D5862">
        <v>21</v>
      </c>
      <c r="E5862" t="s">
        <v>15</v>
      </c>
      <c r="F5862" t="s">
        <v>13401</v>
      </c>
      <c r="G5862">
        <v>4</v>
      </c>
      <c r="H5862" t="s">
        <v>2319</v>
      </c>
      <c r="I5862" t="s">
        <v>214</v>
      </c>
      <c r="J5862" t="s">
        <v>759</v>
      </c>
      <c r="K5862" t="s">
        <v>20</v>
      </c>
      <c r="L5862" t="s">
        <v>13402</v>
      </c>
      <c r="M5862" s="3" t="str">
        <f>HYPERLINK("..\..\Imagery\ScannedPhotos\1980\RG80-005.1.jpg")</f>
        <v>..\..\Imagery\ScannedPhotos\1980\RG80-005.1.jpg</v>
      </c>
    </row>
    <row r="5863" spans="1:13" x14ac:dyDescent="0.25">
      <c r="A5863" t="s">
        <v>13403</v>
      </c>
      <c r="B5863">
        <v>544647</v>
      </c>
      <c r="C5863">
        <v>5732594</v>
      </c>
      <c r="D5863">
        <v>21</v>
      </c>
      <c r="E5863" t="s">
        <v>15</v>
      </c>
      <c r="F5863" t="s">
        <v>13404</v>
      </c>
      <c r="G5863">
        <v>3</v>
      </c>
      <c r="H5863" t="s">
        <v>1338</v>
      </c>
      <c r="I5863" t="s">
        <v>360</v>
      </c>
      <c r="J5863" t="s">
        <v>570</v>
      </c>
      <c r="K5863" t="s">
        <v>56</v>
      </c>
      <c r="L5863" t="s">
        <v>2720</v>
      </c>
      <c r="M5863" s="3" t="str">
        <f>HYPERLINK("..\..\Imagery\ScannedPhotos\1993\VN93-214.1.jpg")</f>
        <v>..\..\Imagery\ScannedPhotos\1993\VN93-214.1.jpg</v>
      </c>
    </row>
    <row r="5864" spans="1:13" x14ac:dyDescent="0.25">
      <c r="A5864" t="s">
        <v>13403</v>
      </c>
      <c r="B5864">
        <v>544647</v>
      </c>
      <c r="C5864">
        <v>5732594</v>
      </c>
      <c r="D5864">
        <v>21</v>
      </c>
      <c r="E5864" t="s">
        <v>15</v>
      </c>
      <c r="F5864" t="s">
        <v>13405</v>
      </c>
      <c r="G5864">
        <v>3</v>
      </c>
      <c r="H5864" t="s">
        <v>1338</v>
      </c>
      <c r="I5864" t="s">
        <v>647</v>
      </c>
      <c r="J5864" t="s">
        <v>570</v>
      </c>
      <c r="K5864" t="s">
        <v>20</v>
      </c>
      <c r="L5864" t="s">
        <v>2720</v>
      </c>
      <c r="M5864" s="3" t="str">
        <f>HYPERLINK("..\..\Imagery\ScannedPhotos\1993\VN93-214.2.jpg")</f>
        <v>..\..\Imagery\ScannedPhotos\1993\VN93-214.2.jpg</v>
      </c>
    </row>
    <row r="5865" spans="1:13" x14ac:dyDescent="0.25">
      <c r="A5865" t="s">
        <v>13403</v>
      </c>
      <c r="B5865">
        <v>544647</v>
      </c>
      <c r="C5865">
        <v>5732594</v>
      </c>
      <c r="D5865">
        <v>21</v>
      </c>
      <c r="E5865" t="s">
        <v>15</v>
      </c>
      <c r="F5865" t="s">
        <v>13406</v>
      </c>
      <c r="G5865">
        <v>3</v>
      </c>
      <c r="H5865" t="s">
        <v>1338</v>
      </c>
      <c r="I5865" t="s">
        <v>30</v>
      </c>
      <c r="J5865" t="s">
        <v>570</v>
      </c>
      <c r="K5865" t="s">
        <v>56</v>
      </c>
      <c r="L5865" t="s">
        <v>13407</v>
      </c>
      <c r="M5865" s="3" t="str">
        <f>HYPERLINK("..\..\Imagery\ScannedPhotos\1993\VN93-214.3.jpg")</f>
        <v>..\..\Imagery\ScannedPhotos\1993\VN93-214.3.jpg</v>
      </c>
    </row>
    <row r="5866" spans="1:13" x14ac:dyDescent="0.25">
      <c r="A5866" t="s">
        <v>9815</v>
      </c>
      <c r="B5866">
        <v>545118</v>
      </c>
      <c r="C5866">
        <v>5732685</v>
      </c>
      <c r="D5866">
        <v>21</v>
      </c>
      <c r="E5866" t="s">
        <v>15</v>
      </c>
      <c r="F5866" t="s">
        <v>13408</v>
      </c>
      <c r="G5866">
        <v>3</v>
      </c>
      <c r="H5866" t="s">
        <v>1338</v>
      </c>
      <c r="I5866" t="s">
        <v>119</v>
      </c>
      <c r="J5866" t="s">
        <v>570</v>
      </c>
      <c r="K5866" t="s">
        <v>20</v>
      </c>
      <c r="L5866" t="s">
        <v>13409</v>
      </c>
      <c r="M5866" s="3" t="str">
        <f>HYPERLINK("..\..\Imagery\ScannedPhotos\1993\VN93-215.2.jpg")</f>
        <v>..\..\Imagery\ScannedPhotos\1993\VN93-215.2.jpg</v>
      </c>
    </row>
    <row r="5867" spans="1:13" x14ac:dyDescent="0.25">
      <c r="A5867" t="s">
        <v>9815</v>
      </c>
      <c r="B5867">
        <v>545118</v>
      </c>
      <c r="C5867">
        <v>5732685</v>
      </c>
      <c r="D5867">
        <v>21</v>
      </c>
      <c r="E5867" t="s">
        <v>15</v>
      </c>
      <c r="F5867" t="s">
        <v>13410</v>
      </c>
      <c r="G5867">
        <v>3</v>
      </c>
      <c r="H5867" t="s">
        <v>1338</v>
      </c>
      <c r="I5867" t="s">
        <v>114</v>
      </c>
      <c r="J5867" t="s">
        <v>570</v>
      </c>
      <c r="K5867" t="s">
        <v>20</v>
      </c>
      <c r="L5867" t="s">
        <v>13411</v>
      </c>
      <c r="M5867" s="3" t="str">
        <f>HYPERLINK("..\..\Imagery\ScannedPhotos\1993\VN93-215.1.jpg")</f>
        <v>..\..\Imagery\ScannedPhotos\1993\VN93-215.1.jpg</v>
      </c>
    </row>
    <row r="5868" spans="1:13" x14ac:dyDescent="0.25">
      <c r="A5868" t="s">
        <v>10656</v>
      </c>
      <c r="B5868">
        <v>546347</v>
      </c>
      <c r="C5868">
        <v>5757485</v>
      </c>
      <c r="D5868">
        <v>21</v>
      </c>
      <c r="E5868" t="s">
        <v>15</v>
      </c>
      <c r="F5868" t="s">
        <v>13412</v>
      </c>
      <c r="G5868">
        <v>3</v>
      </c>
      <c r="K5868" t="s">
        <v>56</v>
      </c>
      <c r="L5868" t="s">
        <v>4216</v>
      </c>
      <c r="M5868" s="3" t="str">
        <f>HYPERLINK("..\..\Imagery\ScannedPhotos\2003\CG03-060.2.jpg")</f>
        <v>..\..\Imagery\ScannedPhotos\2003\CG03-060.2.jpg</v>
      </c>
    </row>
    <row r="5869" spans="1:13" x14ac:dyDescent="0.25">
      <c r="A5869" t="s">
        <v>10656</v>
      </c>
      <c r="B5869">
        <v>546347</v>
      </c>
      <c r="C5869">
        <v>5757485</v>
      </c>
      <c r="D5869">
        <v>21</v>
      </c>
      <c r="E5869" t="s">
        <v>15</v>
      </c>
      <c r="F5869" t="s">
        <v>13413</v>
      </c>
      <c r="G5869">
        <v>3</v>
      </c>
      <c r="K5869" t="s">
        <v>56</v>
      </c>
      <c r="L5869" t="s">
        <v>13414</v>
      </c>
      <c r="M5869" s="3" t="str">
        <f>HYPERLINK("..\..\Imagery\ScannedPhotos\2003\CG03-060.3.jpg")</f>
        <v>..\..\Imagery\ScannedPhotos\2003\CG03-060.3.jpg</v>
      </c>
    </row>
    <row r="5870" spans="1:13" x14ac:dyDescent="0.25">
      <c r="A5870" t="s">
        <v>9704</v>
      </c>
      <c r="B5870">
        <v>512092</v>
      </c>
      <c r="C5870">
        <v>5954071</v>
      </c>
      <c r="D5870">
        <v>21</v>
      </c>
      <c r="E5870" t="s">
        <v>15</v>
      </c>
      <c r="F5870" t="s">
        <v>13415</v>
      </c>
      <c r="G5870">
        <v>2</v>
      </c>
      <c r="H5870" t="s">
        <v>3158</v>
      </c>
      <c r="I5870" t="s">
        <v>41</v>
      </c>
      <c r="J5870" t="s">
        <v>48</v>
      </c>
      <c r="K5870" t="s">
        <v>20</v>
      </c>
      <c r="L5870" t="s">
        <v>13416</v>
      </c>
      <c r="M5870" s="3" t="str">
        <f>HYPERLINK("..\..\Imagery\ScannedPhotos\1981\VO81-021.1.jpg")</f>
        <v>..\..\Imagery\ScannedPhotos\1981\VO81-021.1.jpg</v>
      </c>
    </row>
    <row r="5871" spans="1:13" x14ac:dyDescent="0.25">
      <c r="A5871" t="s">
        <v>13417</v>
      </c>
      <c r="B5871">
        <v>589298</v>
      </c>
      <c r="C5871">
        <v>5772082</v>
      </c>
      <c r="D5871">
        <v>21</v>
      </c>
      <c r="E5871" t="s">
        <v>15</v>
      </c>
      <c r="F5871" t="s">
        <v>13418</v>
      </c>
      <c r="G5871">
        <v>2</v>
      </c>
      <c r="H5871" t="s">
        <v>1513</v>
      </c>
      <c r="I5871" t="s">
        <v>85</v>
      </c>
      <c r="J5871" t="s">
        <v>1514</v>
      </c>
      <c r="K5871" t="s">
        <v>20</v>
      </c>
      <c r="L5871" t="s">
        <v>13419</v>
      </c>
      <c r="M5871" s="3" t="str">
        <f>HYPERLINK("..\..\Imagery\ScannedPhotos\1992\VO92-023.2.jpg")</f>
        <v>..\..\Imagery\ScannedPhotos\1992\VO92-023.2.jpg</v>
      </c>
    </row>
    <row r="5872" spans="1:13" x14ac:dyDescent="0.25">
      <c r="A5872" t="s">
        <v>13417</v>
      </c>
      <c r="B5872">
        <v>589298</v>
      </c>
      <c r="C5872">
        <v>5772082</v>
      </c>
      <c r="D5872">
        <v>21</v>
      </c>
      <c r="E5872" t="s">
        <v>15</v>
      </c>
      <c r="F5872" t="s">
        <v>13420</v>
      </c>
      <c r="G5872">
        <v>2</v>
      </c>
      <c r="H5872" t="s">
        <v>1513</v>
      </c>
      <c r="I5872" t="s">
        <v>41</v>
      </c>
      <c r="J5872" t="s">
        <v>1514</v>
      </c>
      <c r="K5872" t="s">
        <v>56</v>
      </c>
      <c r="L5872" t="s">
        <v>13421</v>
      </c>
      <c r="M5872" s="3" t="str">
        <f>HYPERLINK("..\..\Imagery\ScannedPhotos\1992\VO92-023.1.jpg")</f>
        <v>..\..\Imagery\ScannedPhotos\1992\VO92-023.1.jpg</v>
      </c>
    </row>
    <row r="5873" spans="1:13" x14ac:dyDescent="0.25">
      <c r="A5873" t="s">
        <v>10682</v>
      </c>
      <c r="B5873">
        <v>587489</v>
      </c>
      <c r="C5873">
        <v>5770384</v>
      </c>
      <c r="D5873">
        <v>21</v>
      </c>
      <c r="E5873" t="s">
        <v>15</v>
      </c>
      <c r="F5873" t="s">
        <v>13422</v>
      </c>
      <c r="G5873">
        <v>9</v>
      </c>
      <c r="H5873" t="s">
        <v>7220</v>
      </c>
      <c r="I5873" t="s">
        <v>65</v>
      </c>
      <c r="J5873" t="s">
        <v>1738</v>
      </c>
      <c r="K5873" t="s">
        <v>20</v>
      </c>
      <c r="L5873" t="s">
        <v>13423</v>
      </c>
      <c r="M5873" s="3" t="str">
        <f>HYPERLINK("..\..\Imagery\ScannedPhotos\1992\VO92-024.2.jpg")</f>
        <v>..\..\Imagery\ScannedPhotos\1992\VO92-024.2.jpg</v>
      </c>
    </row>
    <row r="5874" spans="1:13" x14ac:dyDescent="0.25">
      <c r="A5874" t="s">
        <v>10682</v>
      </c>
      <c r="B5874">
        <v>587489</v>
      </c>
      <c r="C5874">
        <v>5770384</v>
      </c>
      <c r="D5874">
        <v>21</v>
      </c>
      <c r="E5874" t="s">
        <v>15</v>
      </c>
      <c r="F5874" t="s">
        <v>13424</v>
      </c>
      <c r="G5874">
        <v>9</v>
      </c>
      <c r="H5874" t="s">
        <v>7220</v>
      </c>
      <c r="I5874" t="s">
        <v>52</v>
      </c>
      <c r="J5874" t="s">
        <v>1738</v>
      </c>
      <c r="K5874" t="s">
        <v>20</v>
      </c>
      <c r="L5874" t="s">
        <v>13425</v>
      </c>
      <c r="M5874" s="3" t="str">
        <f>HYPERLINK("..\..\Imagery\ScannedPhotos\1992\VO92-024.1.jpg")</f>
        <v>..\..\Imagery\ScannedPhotos\1992\VO92-024.1.jpg</v>
      </c>
    </row>
    <row r="5875" spans="1:13" x14ac:dyDescent="0.25">
      <c r="A5875" t="s">
        <v>10682</v>
      </c>
      <c r="B5875">
        <v>587489</v>
      </c>
      <c r="C5875">
        <v>5770384</v>
      </c>
      <c r="D5875">
        <v>21</v>
      </c>
      <c r="E5875" t="s">
        <v>15</v>
      </c>
      <c r="F5875" t="s">
        <v>13426</v>
      </c>
      <c r="G5875">
        <v>9</v>
      </c>
      <c r="H5875" t="s">
        <v>1513</v>
      </c>
      <c r="I5875" t="s">
        <v>281</v>
      </c>
      <c r="J5875" t="s">
        <v>1514</v>
      </c>
      <c r="K5875" t="s">
        <v>56</v>
      </c>
      <c r="L5875" t="s">
        <v>13427</v>
      </c>
      <c r="M5875" s="3" t="str">
        <f>HYPERLINK("..\..\Imagery\ScannedPhotos\1992\VO92-024.4.jpg")</f>
        <v>..\..\Imagery\ScannedPhotos\1992\VO92-024.4.jpg</v>
      </c>
    </row>
    <row r="5876" spans="1:13" x14ac:dyDescent="0.25">
      <c r="A5876" t="s">
        <v>10682</v>
      </c>
      <c r="B5876">
        <v>587489</v>
      </c>
      <c r="C5876">
        <v>5770384</v>
      </c>
      <c r="D5876">
        <v>21</v>
      </c>
      <c r="E5876" t="s">
        <v>15</v>
      </c>
      <c r="F5876" t="s">
        <v>13428</v>
      </c>
      <c r="G5876">
        <v>9</v>
      </c>
      <c r="H5876" t="s">
        <v>1513</v>
      </c>
      <c r="I5876" t="s">
        <v>79</v>
      </c>
      <c r="J5876" t="s">
        <v>1514</v>
      </c>
      <c r="K5876" t="s">
        <v>535</v>
      </c>
      <c r="L5876" t="s">
        <v>13429</v>
      </c>
      <c r="M5876" s="3" t="str">
        <f>HYPERLINK("..\..\Imagery\ScannedPhotos\1992\VO92-024.3.jpg")</f>
        <v>..\..\Imagery\ScannedPhotos\1992\VO92-024.3.jpg</v>
      </c>
    </row>
    <row r="5877" spans="1:13" x14ac:dyDescent="0.25">
      <c r="A5877" t="s">
        <v>9130</v>
      </c>
      <c r="B5877">
        <v>544607</v>
      </c>
      <c r="C5877">
        <v>5840455</v>
      </c>
      <c r="D5877">
        <v>21</v>
      </c>
      <c r="E5877" t="s">
        <v>15</v>
      </c>
      <c r="F5877" t="s">
        <v>13430</v>
      </c>
      <c r="G5877">
        <v>9</v>
      </c>
      <c r="H5877" t="s">
        <v>2945</v>
      </c>
      <c r="I5877" t="s">
        <v>41</v>
      </c>
      <c r="J5877" t="s">
        <v>300</v>
      </c>
      <c r="K5877" t="s">
        <v>20</v>
      </c>
      <c r="L5877" t="s">
        <v>13431</v>
      </c>
      <c r="M5877" s="3" t="str">
        <f>HYPERLINK("..\..\Imagery\ScannedPhotos\1986\CG86-490.8.jpg")</f>
        <v>..\..\Imagery\ScannedPhotos\1986\CG86-490.8.jpg</v>
      </c>
    </row>
    <row r="5878" spans="1:13" x14ac:dyDescent="0.25">
      <c r="A5878" t="s">
        <v>9130</v>
      </c>
      <c r="B5878">
        <v>544607</v>
      </c>
      <c r="C5878">
        <v>5840455</v>
      </c>
      <c r="D5878">
        <v>21</v>
      </c>
      <c r="E5878" t="s">
        <v>15</v>
      </c>
      <c r="F5878" t="s">
        <v>13432</v>
      </c>
      <c r="G5878">
        <v>9</v>
      </c>
      <c r="H5878" t="s">
        <v>2945</v>
      </c>
      <c r="I5878" t="s">
        <v>74</v>
      </c>
      <c r="J5878" t="s">
        <v>300</v>
      </c>
      <c r="K5878" t="s">
        <v>20</v>
      </c>
      <c r="L5878" t="s">
        <v>9132</v>
      </c>
      <c r="M5878" s="3" t="str">
        <f>HYPERLINK("..\..\Imagery\ScannedPhotos\1986\CG86-490.7.jpg")</f>
        <v>..\..\Imagery\ScannedPhotos\1986\CG86-490.7.jpg</v>
      </c>
    </row>
    <row r="5879" spans="1:13" x14ac:dyDescent="0.25">
      <c r="A5879" t="s">
        <v>13433</v>
      </c>
      <c r="B5879">
        <v>355633</v>
      </c>
      <c r="C5879">
        <v>5763393</v>
      </c>
      <c r="D5879">
        <v>21</v>
      </c>
      <c r="E5879" t="s">
        <v>15</v>
      </c>
      <c r="F5879" t="s">
        <v>13434</v>
      </c>
      <c r="G5879">
        <v>1</v>
      </c>
      <c r="H5879" t="s">
        <v>7324</v>
      </c>
      <c r="I5879" t="s">
        <v>137</v>
      </c>
      <c r="J5879" t="s">
        <v>7325</v>
      </c>
      <c r="K5879" t="s">
        <v>20</v>
      </c>
      <c r="L5879" t="s">
        <v>13435</v>
      </c>
      <c r="M5879" s="3" t="str">
        <f>HYPERLINK("..\..\Imagery\ScannedPhotos\1999\CG99-405.jpg")</f>
        <v>..\..\Imagery\ScannedPhotos\1999\CG99-405.jpg</v>
      </c>
    </row>
    <row r="5880" spans="1:13" x14ac:dyDescent="0.25">
      <c r="A5880" t="s">
        <v>13436</v>
      </c>
      <c r="B5880">
        <v>500538</v>
      </c>
      <c r="C5880">
        <v>5952394</v>
      </c>
      <c r="D5880">
        <v>21</v>
      </c>
      <c r="E5880" t="s">
        <v>15</v>
      </c>
      <c r="F5880" t="s">
        <v>13437</v>
      </c>
      <c r="G5880">
        <v>1</v>
      </c>
      <c r="H5880" t="s">
        <v>443</v>
      </c>
      <c r="I5880" t="s">
        <v>69</v>
      </c>
      <c r="J5880" t="s">
        <v>48</v>
      </c>
      <c r="K5880" t="s">
        <v>20</v>
      </c>
      <c r="L5880" t="s">
        <v>13438</v>
      </c>
      <c r="M5880" s="3" t="str">
        <f>HYPERLINK("..\..\Imagery\ScannedPhotos\1981\CG81-009.jpg")</f>
        <v>..\..\Imagery\ScannedPhotos\1981\CG81-009.jpg</v>
      </c>
    </row>
    <row r="5881" spans="1:13" x14ac:dyDescent="0.25">
      <c r="A5881" t="s">
        <v>13439</v>
      </c>
      <c r="B5881">
        <v>502726</v>
      </c>
      <c r="C5881">
        <v>5953396</v>
      </c>
      <c r="D5881">
        <v>21</v>
      </c>
      <c r="E5881" t="s">
        <v>15</v>
      </c>
      <c r="F5881" t="s">
        <v>13440</v>
      </c>
      <c r="G5881">
        <v>1</v>
      </c>
      <c r="H5881" t="s">
        <v>443</v>
      </c>
      <c r="I5881" t="s">
        <v>74</v>
      </c>
      <c r="J5881" t="s">
        <v>48</v>
      </c>
      <c r="K5881" t="s">
        <v>20</v>
      </c>
      <c r="L5881" t="s">
        <v>8486</v>
      </c>
      <c r="M5881" s="3" t="str">
        <f>HYPERLINK("..\..\Imagery\ScannedPhotos\1981\CG81-014.jpg")</f>
        <v>..\..\Imagery\ScannedPhotos\1981\CG81-014.jpg</v>
      </c>
    </row>
    <row r="5882" spans="1:13" x14ac:dyDescent="0.25">
      <c r="A5882" t="s">
        <v>13441</v>
      </c>
      <c r="B5882">
        <v>500684</v>
      </c>
      <c r="C5882">
        <v>5950431</v>
      </c>
      <c r="D5882">
        <v>21</v>
      </c>
      <c r="E5882" t="s">
        <v>15</v>
      </c>
      <c r="F5882" t="s">
        <v>13442</v>
      </c>
      <c r="G5882">
        <v>1</v>
      </c>
      <c r="H5882" t="s">
        <v>443</v>
      </c>
      <c r="I5882" t="s">
        <v>41</v>
      </c>
      <c r="J5882" t="s">
        <v>48</v>
      </c>
      <c r="K5882" t="s">
        <v>228</v>
      </c>
      <c r="L5882" t="s">
        <v>13443</v>
      </c>
      <c r="M5882" s="3" t="str">
        <f>HYPERLINK("..\..\Imagery\ScannedPhotos\1981\CG81-028.jpg")</f>
        <v>..\..\Imagery\ScannedPhotos\1981\CG81-028.jpg</v>
      </c>
    </row>
    <row r="5883" spans="1:13" x14ac:dyDescent="0.25">
      <c r="A5883" t="s">
        <v>13444</v>
      </c>
      <c r="B5883">
        <v>535991</v>
      </c>
      <c r="C5883">
        <v>5798562</v>
      </c>
      <c r="D5883">
        <v>21</v>
      </c>
      <c r="E5883" t="s">
        <v>15</v>
      </c>
      <c r="F5883" t="s">
        <v>13445</v>
      </c>
      <c r="G5883">
        <v>1</v>
      </c>
      <c r="H5883" t="s">
        <v>796</v>
      </c>
      <c r="I5883" t="s">
        <v>217</v>
      </c>
      <c r="J5883" t="s">
        <v>797</v>
      </c>
      <c r="K5883" t="s">
        <v>20</v>
      </c>
      <c r="L5883" t="s">
        <v>9097</v>
      </c>
      <c r="M5883" s="3" t="str">
        <f>HYPERLINK("..\..\Imagery\ScannedPhotos\1987\JS87-089.jpg")</f>
        <v>..\..\Imagery\ScannedPhotos\1987\JS87-089.jpg</v>
      </c>
    </row>
    <row r="5884" spans="1:13" x14ac:dyDescent="0.25">
      <c r="A5884" t="s">
        <v>13446</v>
      </c>
      <c r="B5884">
        <v>582856</v>
      </c>
      <c r="C5884">
        <v>5801617</v>
      </c>
      <c r="D5884">
        <v>21</v>
      </c>
      <c r="E5884" t="s">
        <v>15</v>
      </c>
      <c r="F5884" t="s">
        <v>13447</v>
      </c>
      <c r="G5884">
        <v>1</v>
      </c>
      <c r="H5884" t="s">
        <v>1051</v>
      </c>
      <c r="I5884" t="s">
        <v>126</v>
      </c>
      <c r="J5884" t="s">
        <v>1052</v>
      </c>
      <c r="K5884" t="s">
        <v>20</v>
      </c>
      <c r="L5884" t="s">
        <v>13448</v>
      </c>
      <c r="M5884" s="3" t="str">
        <f>HYPERLINK("..\..\Imagery\ScannedPhotos\1987\VN87-496.jpg")</f>
        <v>..\..\Imagery\ScannedPhotos\1987\VN87-496.jpg</v>
      </c>
    </row>
    <row r="5885" spans="1:13" x14ac:dyDescent="0.25">
      <c r="A5885" t="s">
        <v>13449</v>
      </c>
      <c r="B5885">
        <v>582131</v>
      </c>
      <c r="C5885">
        <v>5801896</v>
      </c>
      <c r="D5885">
        <v>21</v>
      </c>
      <c r="E5885" t="s">
        <v>15</v>
      </c>
      <c r="F5885" t="s">
        <v>13450</v>
      </c>
      <c r="G5885">
        <v>1</v>
      </c>
      <c r="H5885" t="s">
        <v>1051</v>
      </c>
      <c r="I5885" t="s">
        <v>108</v>
      </c>
      <c r="J5885" t="s">
        <v>1052</v>
      </c>
      <c r="K5885" t="s">
        <v>20</v>
      </c>
      <c r="L5885" t="s">
        <v>13451</v>
      </c>
      <c r="M5885" s="3" t="str">
        <f>HYPERLINK("..\..\Imagery\ScannedPhotos\1987\VN87-499.jpg")</f>
        <v>..\..\Imagery\ScannedPhotos\1987\VN87-499.jpg</v>
      </c>
    </row>
    <row r="5886" spans="1:13" x14ac:dyDescent="0.25">
      <c r="A5886" t="s">
        <v>13452</v>
      </c>
      <c r="B5886">
        <v>582056</v>
      </c>
      <c r="C5886">
        <v>5802255</v>
      </c>
      <c r="D5886">
        <v>21</v>
      </c>
      <c r="E5886" t="s">
        <v>15</v>
      </c>
      <c r="F5886" t="s">
        <v>13453</v>
      </c>
      <c r="G5886">
        <v>1</v>
      </c>
      <c r="H5886" t="s">
        <v>1051</v>
      </c>
      <c r="I5886" t="s">
        <v>132</v>
      </c>
      <c r="J5886" t="s">
        <v>1052</v>
      </c>
      <c r="K5886" t="s">
        <v>20</v>
      </c>
      <c r="L5886" t="s">
        <v>13454</v>
      </c>
      <c r="M5886" s="3" t="str">
        <f>HYPERLINK("..\..\Imagery\ScannedPhotos\1987\VN87-500.jpg")</f>
        <v>..\..\Imagery\ScannedPhotos\1987\VN87-500.jpg</v>
      </c>
    </row>
    <row r="5887" spans="1:13" x14ac:dyDescent="0.25">
      <c r="A5887" t="s">
        <v>10331</v>
      </c>
      <c r="B5887">
        <v>585299</v>
      </c>
      <c r="C5887">
        <v>5797251</v>
      </c>
      <c r="D5887">
        <v>21</v>
      </c>
      <c r="E5887" t="s">
        <v>15</v>
      </c>
      <c r="F5887" t="s">
        <v>13455</v>
      </c>
      <c r="G5887">
        <v>2</v>
      </c>
      <c r="H5887" t="s">
        <v>1051</v>
      </c>
      <c r="I5887" t="s">
        <v>129</v>
      </c>
      <c r="J5887" t="s">
        <v>1052</v>
      </c>
      <c r="K5887" t="s">
        <v>20</v>
      </c>
      <c r="L5887" t="s">
        <v>13456</v>
      </c>
      <c r="M5887" s="3" t="str">
        <f>HYPERLINK("..\..\Imagery\ScannedPhotos\1987\VN87-506.1.jpg")</f>
        <v>..\..\Imagery\ScannedPhotos\1987\VN87-506.1.jpg</v>
      </c>
    </row>
    <row r="5888" spans="1:13" x14ac:dyDescent="0.25">
      <c r="A5888" t="s">
        <v>13457</v>
      </c>
      <c r="B5888">
        <v>584912</v>
      </c>
      <c r="C5888">
        <v>5796516</v>
      </c>
      <c r="D5888">
        <v>21</v>
      </c>
      <c r="E5888" t="s">
        <v>15</v>
      </c>
      <c r="F5888" t="s">
        <v>13458</v>
      </c>
      <c r="G5888">
        <v>2</v>
      </c>
      <c r="H5888" t="s">
        <v>1051</v>
      </c>
      <c r="I5888" t="s">
        <v>147</v>
      </c>
      <c r="J5888" t="s">
        <v>1052</v>
      </c>
      <c r="K5888" t="s">
        <v>20</v>
      </c>
      <c r="L5888" t="s">
        <v>13459</v>
      </c>
      <c r="M5888" s="3" t="str">
        <f>HYPERLINK("..\..\Imagery\ScannedPhotos\1987\VN87-508.2.jpg")</f>
        <v>..\..\Imagery\ScannedPhotos\1987\VN87-508.2.jpg</v>
      </c>
    </row>
    <row r="5889" spans="1:13" x14ac:dyDescent="0.25">
      <c r="A5889" t="s">
        <v>13457</v>
      </c>
      <c r="B5889">
        <v>584912</v>
      </c>
      <c r="C5889">
        <v>5796516</v>
      </c>
      <c r="D5889">
        <v>21</v>
      </c>
      <c r="E5889" t="s">
        <v>15</v>
      </c>
      <c r="F5889" t="s">
        <v>13460</v>
      </c>
      <c r="G5889">
        <v>2</v>
      </c>
      <c r="H5889" t="s">
        <v>1051</v>
      </c>
      <c r="I5889" t="s">
        <v>143</v>
      </c>
      <c r="J5889" t="s">
        <v>1052</v>
      </c>
      <c r="K5889" t="s">
        <v>20</v>
      </c>
      <c r="L5889" t="s">
        <v>13461</v>
      </c>
      <c r="M5889" s="3" t="str">
        <f>HYPERLINK("..\..\Imagery\ScannedPhotos\1987\VN87-508.1.jpg")</f>
        <v>..\..\Imagery\ScannedPhotos\1987\VN87-508.1.jpg</v>
      </c>
    </row>
    <row r="5890" spans="1:13" x14ac:dyDescent="0.25">
      <c r="A5890" t="s">
        <v>13462</v>
      </c>
      <c r="B5890">
        <v>584548</v>
      </c>
      <c r="C5890">
        <v>5796373</v>
      </c>
      <c r="D5890">
        <v>21</v>
      </c>
      <c r="E5890" t="s">
        <v>15</v>
      </c>
      <c r="F5890" t="s">
        <v>13463</v>
      </c>
      <c r="G5890">
        <v>1</v>
      </c>
      <c r="H5890" t="s">
        <v>1051</v>
      </c>
      <c r="I5890" t="s">
        <v>47</v>
      </c>
      <c r="J5890" t="s">
        <v>1052</v>
      </c>
      <c r="K5890" t="s">
        <v>20</v>
      </c>
      <c r="L5890" t="s">
        <v>13464</v>
      </c>
      <c r="M5890" s="3" t="str">
        <f>HYPERLINK("..\..\Imagery\ScannedPhotos\1987\VN87-509.jpg")</f>
        <v>..\..\Imagery\ScannedPhotos\1987\VN87-509.jpg</v>
      </c>
    </row>
    <row r="5891" spans="1:13" x14ac:dyDescent="0.25">
      <c r="A5891" t="s">
        <v>2348</v>
      </c>
      <c r="B5891">
        <v>493688</v>
      </c>
      <c r="C5891">
        <v>5832496</v>
      </c>
      <c r="D5891">
        <v>21</v>
      </c>
      <c r="E5891" t="s">
        <v>15</v>
      </c>
      <c r="F5891" t="s">
        <v>13465</v>
      </c>
      <c r="G5891">
        <v>8</v>
      </c>
      <c r="H5891" t="s">
        <v>968</v>
      </c>
      <c r="I5891" t="s">
        <v>137</v>
      </c>
      <c r="J5891" t="s">
        <v>42</v>
      </c>
      <c r="K5891" t="s">
        <v>56</v>
      </c>
      <c r="L5891" t="s">
        <v>13198</v>
      </c>
      <c r="M5891" s="3" t="str">
        <f>HYPERLINK("..\..\Imagery\ScannedPhotos\1991\VN91-001.3.jpg")</f>
        <v>..\..\Imagery\ScannedPhotos\1991\VN91-001.3.jpg</v>
      </c>
    </row>
    <row r="5892" spans="1:13" x14ac:dyDescent="0.25">
      <c r="A5892" t="s">
        <v>2348</v>
      </c>
      <c r="B5892">
        <v>493688</v>
      </c>
      <c r="C5892">
        <v>5832496</v>
      </c>
      <c r="D5892">
        <v>21</v>
      </c>
      <c r="E5892" t="s">
        <v>15</v>
      </c>
      <c r="F5892" t="s">
        <v>13466</v>
      </c>
      <c r="G5892">
        <v>8</v>
      </c>
      <c r="H5892" t="s">
        <v>968</v>
      </c>
      <c r="I5892" t="s">
        <v>79</v>
      </c>
      <c r="J5892" t="s">
        <v>42</v>
      </c>
      <c r="K5892" t="s">
        <v>56</v>
      </c>
      <c r="L5892" t="s">
        <v>8869</v>
      </c>
      <c r="M5892" s="3" t="str">
        <f>HYPERLINK("..\..\Imagery\ScannedPhotos\1991\VN91-001.1.jpg")</f>
        <v>..\..\Imagery\ScannedPhotos\1991\VN91-001.1.jpg</v>
      </c>
    </row>
    <row r="5893" spans="1:13" x14ac:dyDescent="0.25">
      <c r="A5893" t="s">
        <v>13467</v>
      </c>
      <c r="B5893">
        <v>351335</v>
      </c>
      <c r="C5893">
        <v>5869871</v>
      </c>
      <c r="D5893">
        <v>21</v>
      </c>
      <c r="E5893" t="s">
        <v>15</v>
      </c>
      <c r="F5893" t="s">
        <v>13468</v>
      </c>
      <c r="G5893">
        <v>1</v>
      </c>
      <c r="H5893" t="s">
        <v>259</v>
      </c>
      <c r="I5893" t="s">
        <v>74</v>
      </c>
      <c r="J5893" t="s">
        <v>260</v>
      </c>
      <c r="K5893" t="s">
        <v>56</v>
      </c>
      <c r="L5893" t="s">
        <v>13469</v>
      </c>
      <c r="M5893" s="3" t="str">
        <f>HYPERLINK("..\..\Imagery\ScannedPhotos\1998\CG98-030.jpg")</f>
        <v>..\..\Imagery\ScannedPhotos\1998\CG98-030.jpg</v>
      </c>
    </row>
    <row r="5894" spans="1:13" x14ac:dyDescent="0.25">
      <c r="A5894" t="s">
        <v>13470</v>
      </c>
      <c r="B5894">
        <v>515139</v>
      </c>
      <c r="C5894">
        <v>5859232</v>
      </c>
      <c r="D5894">
        <v>21</v>
      </c>
      <c r="E5894" t="s">
        <v>15</v>
      </c>
      <c r="F5894" t="s">
        <v>13471</v>
      </c>
      <c r="G5894">
        <v>1</v>
      </c>
      <c r="H5894" t="s">
        <v>68</v>
      </c>
      <c r="I5894" t="s">
        <v>222</v>
      </c>
      <c r="J5894" t="s">
        <v>70</v>
      </c>
      <c r="K5894" t="s">
        <v>20</v>
      </c>
      <c r="L5894" t="s">
        <v>13472</v>
      </c>
      <c r="M5894" s="3" t="str">
        <f>HYPERLINK("..\..\Imagery\ScannedPhotos\1986\SN86-170.jpg")</f>
        <v>..\..\Imagery\ScannedPhotos\1986\SN86-170.jpg</v>
      </c>
    </row>
    <row r="5895" spans="1:13" x14ac:dyDescent="0.25">
      <c r="A5895" t="s">
        <v>13473</v>
      </c>
      <c r="B5895">
        <v>513629</v>
      </c>
      <c r="C5895">
        <v>5855824</v>
      </c>
      <c r="D5895">
        <v>21</v>
      </c>
      <c r="E5895" t="s">
        <v>15</v>
      </c>
      <c r="F5895" t="s">
        <v>13474</v>
      </c>
      <c r="G5895">
        <v>1</v>
      </c>
      <c r="H5895" t="s">
        <v>68</v>
      </c>
      <c r="I5895" t="s">
        <v>304</v>
      </c>
      <c r="J5895" t="s">
        <v>70</v>
      </c>
      <c r="K5895" t="s">
        <v>20</v>
      </c>
      <c r="L5895" t="s">
        <v>13475</v>
      </c>
      <c r="M5895" s="3" t="str">
        <f>HYPERLINK("..\..\Imagery\ScannedPhotos\1986\SN86-173.jpg")</f>
        <v>..\..\Imagery\ScannedPhotos\1986\SN86-173.jpg</v>
      </c>
    </row>
    <row r="5896" spans="1:13" x14ac:dyDescent="0.25">
      <c r="A5896" t="s">
        <v>13476</v>
      </c>
      <c r="B5896">
        <v>523754</v>
      </c>
      <c r="C5896">
        <v>5862468</v>
      </c>
      <c r="D5896">
        <v>21</v>
      </c>
      <c r="E5896" t="s">
        <v>15</v>
      </c>
      <c r="F5896" t="s">
        <v>13477</v>
      </c>
      <c r="G5896">
        <v>1</v>
      </c>
      <c r="H5896" t="s">
        <v>68</v>
      </c>
      <c r="I5896" t="s">
        <v>195</v>
      </c>
      <c r="J5896" t="s">
        <v>70</v>
      </c>
      <c r="K5896" t="s">
        <v>20</v>
      </c>
      <c r="L5896" t="s">
        <v>13478</v>
      </c>
      <c r="M5896" s="3" t="str">
        <f>HYPERLINK("..\..\Imagery\ScannedPhotos\1986\SN86-176.jpg")</f>
        <v>..\..\Imagery\ScannedPhotos\1986\SN86-176.jpg</v>
      </c>
    </row>
    <row r="5897" spans="1:13" x14ac:dyDescent="0.25">
      <c r="A5897" t="s">
        <v>12914</v>
      </c>
      <c r="B5897">
        <v>573713</v>
      </c>
      <c r="C5897">
        <v>5916464</v>
      </c>
      <c r="D5897">
        <v>21</v>
      </c>
      <c r="E5897" t="s">
        <v>15</v>
      </c>
      <c r="F5897" t="s">
        <v>13479</v>
      </c>
      <c r="G5897">
        <v>4</v>
      </c>
      <c r="H5897" t="s">
        <v>1577</v>
      </c>
      <c r="I5897" t="s">
        <v>35</v>
      </c>
      <c r="J5897" t="s">
        <v>1374</v>
      </c>
      <c r="K5897" t="s">
        <v>20</v>
      </c>
      <c r="L5897" t="s">
        <v>12918</v>
      </c>
      <c r="M5897" s="3" t="str">
        <f>HYPERLINK("..\..\Imagery\ScannedPhotos\1985\GM85-624.2.jpg")</f>
        <v>..\..\Imagery\ScannedPhotos\1985\GM85-624.2.jpg</v>
      </c>
    </row>
    <row r="5898" spans="1:13" x14ac:dyDescent="0.25">
      <c r="A5898" t="s">
        <v>12914</v>
      </c>
      <c r="B5898">
        <v>573713</v>
      </c>
      <c r="C5898">
        <v>5916464</v>
      </c>
      <c r="D5898">
        <v>21</v>
      </c>
      <c r="E5898" t="s">
        <v>15</v>
      </c>
      <c r="F5898" t="s">
        <v>13480</v>
      </c>
      <c r="G5898">
        <v>4</v>
      </c>
      <c r="H5898" t="s">
        <v>1577</v>
      </c>
      <c r="I5898" t="s">
        <v>74</v>
      </c>
      <c r="J5898" t="s">
        <v>1374</v>
      </c>
      <c r="K5898" t="s">
        <v>20</v>
      </c>
      <c r="L5898" t="s">
        <v>12916</v>
      </c>
      <c r="M5898" s="3" t="str">
        <f>HYPERLINK("..\..\Imagery\ScannedPhotos\1985\GM85-624.4.jpg")</f>
        <v>..\..\Imagery\ScannedPhotos\1985\GM85-624.4.jpg</v>
      </c>
    </row>
    <row r="5899" spans="1:13" x14ac:dyDescent="0.25">
      <c r="A5899" t="s">
        <v>13481</v>
      </c>
      <c r="B5899">
        <v>573205</v>
      </c>
      <c r="C5899">
        <v>5916786</v>
      </c>
      <c r="D5899">
        <v>21</v>
      </c>
      <c r="E5899" t="s">
        <v>15</v>
      </c>
      <c r="F5899" t="s">
        <v>13482</v>
      </c>
      <c r="G5899">
        <v>1</v>
      </c>
      <c r="H5899" t="s">
        <v>1577</v>
      </c>
      <c r="I5899" t="s">
        <v>41</v>
      </c>
      <c r="J5899" t="s">
        <v>1374</v>
      </c>
      <c r="K5899" t="s">
        <v>20</v>
      </c>
      <c r="L5899" t="s">
        <v>13483</v>
      </c>
      <c r="M5899" s="3" t="str">
        <f>HYPERLINK("..\..\Imagery\ScannedPhotos\1985\GM85-626.jpg")</f>
        <v>..\..\Imagery\ScannedPhotos\1985\GM85-626.jpg</v>
      </c>
    </row>
    <row r="5900" spans="1:13" x14ac:dyDescent="0.25">
      <c r="A5900" t="s">
        <v>13484</v>
      </c>
      <c r="B5900">
        <v>573354</v>
      </c>
      <c r="C5900">
        <v>5917056</v>
      </c>
      <c r="D5900">
        <v>21</v>
      </c>
      <c r="E5900" t="s">
        <v>15</v>
      </c>
      <c r="F5900" t="s">
        <v>13485</v>
      </c>
      <c r="G5900">
        <v>1</v>
      </c>
      <c r="H5900" t="s">
        <v>1577</v>
      </c>
      <c r="I5900" t="s">
        <v>85</v>
      </c>
      <c r="J5900" t="s">
        <v>1374</v>
      </c>
      <c r="K5900" t="s">
        <v>20</v>
      </c>
      <c r="L5900" t="s">
        <v>13486</v>
      </c>
      <c r="M5900" s="3" t="str">
        <f>HYPERLINK("..\..\Imagery\ScannedPhotos\1985\GM85-628.jpg")</f>
        <v>..\..\Imagery\ScannedPhotos\1985\GM85-628.jpg</v>
      </c>
    </row>
    <row r="5901" spans="1:13" x14ac:dyDescent="0.25">
      <c r="A5901" t="s">
        <v>13487</v>
      </c>
      <c r="B5901">
        <v>373425</v>
      </c>
      <c r="C5901">
        <v>6087778</v>
      </c>
      <c r="D5901">
        <v>21</v>
      </c>
      <c r="E5901" t="s">
        <v>15</v>
      </c>
      <c r="F5901" t="s">
        <v>13488</v>
      </c>
      <c r="G5901">
        <v>1</v>
      </c>
      <c r="H5901" t="s">
        <v>1623</v>
      </c>
      <c r="I5901" t="s">
        <v>360</v>
      </c>
      <c r="J5901" t="s">
        <v>1624</v>
      </c>
      <c r="K5901" t="s">
        <v>20</v>
      </c>
      <c r="L5901" t="s">
        <v>13489</v>
      </c>
      <c r="M5901" s="3" t="str">
        <f>HYPERLINK("..\..\Imagery\ScannedPhotos\1978\AL78-045.jpg")</f>
        <v>..\..\Imagery\ScannedPhotos\1978\AL78-045.jpg</v>
      </c>
    </row>
    <row r="5902" spans="1:13" x14ac:dyDescent="0.25">
      <c r="A5902" t="s">
        <v>13490</v>
      </c>
      <c r="B5902">
        <v>373515</v>
      </c>
      <c r="C5902">
        <v>6087495</v>
      </c>
      <c r="D5902">
        <v>21</v>
      </c>
      <c r="E5902" t="s">
        <v>15</v>
      </c>
      <c r="F5902" t="s">
        <v>13491</v>
      </c>
      <c r="G5902">
        <v>2</v>
      </c>
      <c r="H5902" t="s">
        <v>1623</v>
      </c>
      <c r="I5902" t="s">
        <v>30</v>
      </c>
      <c r="J5902" t="s">
        <v>1624</v>
      </c>
      <c r="K5902" t="s">
        <v>20</v>
      </c>
      <c r="L5902" t="s">
        <v>13492</v>
      </c>
      <c r="M5902" s="3" t="str">
        <f>HYPERLINK("..\..\Imagery\ScannedPhotos\1978\AL78-046.2.jpg")</f>
        <v>..\..\Imagery\ScannedPhotos\1978\AL78-046.2.jpg</v>
      </c>
    </row>
    <row r="5903" spans="1:13" x14ac:dyDescent="0.25">
      <c r="A5903" t="s">
        <v>13490</v>
      </c>
      <c r="B5903">
        <v>373515</v>
      </c>
      <c r="C5903">
        <v>6087495</v>
      </c>
      <c r="D5903">
        <v>21</v>
      </c>
      <c r="E5903" t="s">
        <v>15</v>
      </c>
      <c r="F5903" t="s">
        <v>13493</v>
      </c>
      <c r="G5903">
        <v>2</v>
      </c>
      <c r="H5903" t="s">
        <v>1623</v>
      </c>
      <c r="I5903" t="s">
        <v>647</v>
      </c>
      <c r="J5903" t="s">
        <v>1624</v>
      </c>
      <c r="K5903" t="s">
        <v>20</v>
      </c>
      <c r="L5903" t="s">
        <v>13494</v>
      </c>
      <c r="M5903" s="3" t="str">
        <f>HYPERLINK("..\..\Imagery\ScannedPhotos\1978\AL78-046.1.jpg")</f>
        <v>..\..\Imagery\ScannedPhotos\1978\AL78-046.1.jpg</v>
      </c>
    </row>
    <row r="5904" spans="1:13" x14ac:dyDescent="0.25">
      <c r="A5904" t="s">
        <v>11425</v>
      </c>
      <c r="B5904">
        <v>397206</v>
      </c>
      <c r="C5904">
        <v>5993274</v>
      </c>
      <c r="D5904">
        <v>21</v>
      </c>
      <c r="E5904" t="s">
        <v>15</v>
      </c>
      <c r="F5904" t="s">
        <v>13495</v>
      </c>
      <c r="G5904">
        <v>3</v>
      </c>
      <c r="H5904" t="s">
        <v>1593</v>
      </c>
      <c r="I5904" t="s">
        <v>41</v>
      </c>
      <c r="J5904" t="s">
        <v>1594</v>
      </c>
      <c r="K5904" t="s">
        <v>56</v>
      </c>
      <c r="L5904" t="s">
        <v>6358</v>
      </c>
      <c r="M5904" s="3" t="str">
        <f>HYPERLINK("..\..\Imagery\ScannedPhotos\1980\NN80-008.1.jpg")</f>
        <v>..\..\Imagery\ScannedPhotos\1980\NN80-008.1.jpg</v>
      </c>
    </row>
    <row r="5905" spans="1:13" x14ac:dyDescent="0.25">
      <c r="A5905" t="s">
        <v>13496</v>
      </c>
      <c r="B5905">
        <v>397175</v>
      </c>
      <c r="C5905">
        <v>5993036</v>
      </c>
      <c r="D5905">
        <v>21</v>
      </c>
      <c r="E5905" t="s">
        <v>15</v>
      </c>
      <c r="F5905" t="s">
        <v>13497</v>
      </c>
      <c r="G5905">
        <v>1</v>
      </c>
      <c r="H5905" t="s">
        <v>1593</v>
      </c>
      <c r="I5905" t="s">
        <v>94</v>
      </c>
      <c r="J5905" t="s">
        <v>1594</v>
      </c>
      <c r="K5905" t="s">
        <v>20</v>
      </c>
      <c r="L5905" t="s">
        <v>13498</v>
      </c>
      <c r="M5905" s="3" t="str">
        <f>HYPERLINK("..\..\Imagery\ScannedPhotos\1980\NN80-009.jpg")</f>
        <v>..\..\Imagery\ScannedPhotos\1980\NN80-009.jpg</v>
      </c>
    </row>
    <row r="5906" spans="1:13" x14ac:dyDescent="0.25">
      <c r="A5906" t="s">
        <v>10682</v>
      </c>
      <c r="B5906">
        <v>587489</v>
      </c>
      <c r="C5906">
        <v>5770384</v>
      </c>
      <c r="D5906">
        <v>21</v>
      </c>
      <c r="E5906" t="s">
        <v>15</v>
      </c>
      <c r="F5906" t="s">
        <v>13499</v>
      </c>
      <c r="G5906">
        <v>9</v>
      </c>
      <c r="H5906" t="s">
        <v>1513</v>
      </c>
      <c r="I5906" t="s">
        <v>137</v>
      </c>
      <c r="J5906" t="s">
        <v>1514</v>
      </c>
      <c r="K5906" t="s">
        <v>20</v>
      </c>
      <c r="L5906" t="s">
        <v>13500</v>
      </c>
      <c r="M5906" s="3" t="str">
        <f>HYPERLINK("..\..\Imagery\ScannedPhotos\1992\VO92-024.5.jpg")</f>
        <v>..\..\Imagery\ScannedPhotos\1992\VO92-024.5.jpg</v>
      </c>
    </row>
    <row r="5907" spans="1:13" x14ac:dyDescent="0.25">
      <c r="A5907" t="s">
        <v>10682</v>
      </c>
      <c r="B5907">
        <v>587489</v>
      </c>
      <c r="C5907">
        <v>5770384</v>
      </c>
      <c r="D5907">
        <v>21</v>
      </c>
      <c r="E5907" t="s">
        <v>15</v>
      </c>
      <c r="F5907" t="s">
        <v>13501</v>
      </c>
      <c r="G5907">
        <v>9</v>
      </c>
      <c r="H5907" t="s">
        <v>1513</v>
      </c>
      <c r="I5907" t="s">
        <v>18</v>
      </c>
      <c r="J5907" t="s">
        <v>1514</v>
      </c>
      <c r="K5907" t="s">
        <v>20</v>
      </c>
      <c r="L5907" t="s">
        <v>13502</v>
      </c>
      <c r="M5907" s="3" t="str">
        <f>HYPERLINK("..\..\Imagery\ScannedPhotos\1992\VO92-024.6.jpg")</f>
        <v>..\..\Imagery\ScannedPhotos\1992\VO92-024.6.jpg</v>
      </c>
    </row>
    <row r="5908" spans="1:13" x14ac:dyDescent="0.25">
      <c r="A5908" t="s">
        <v>10682</v>
      </c>
      <c r="B5908">
        <v>587489</v>
      </c>
      <c r="C5908">
        <v>5770384</v>
      </c>
      <c r="D5908">
        <v>21</v>
      </c>
      <c r="E5908" t="s">
        <v>15</v>
      </c>
      <c r="F5908" t="s">
        <v>13503</v>
      </c>
      <c r="G5908">
        <v>9</v>
      </c>
      <c r="H5908" t="s">
        <v>1513</v>
      </c>
      <c r="I5908" t="s">
        <v>35</v>
      </c>
      <c r="J5908" t="s">
        <v>1514</v>
      </c>
      <c r="K5908" t="s">
        <v>20</v>
      </c>
      <c r="L5908" t="s">
        <v>13502</v>
      </c>
      <c r="M5908" s="3" t="str">
        <f>HYPERLINK("..\..\Imagery\ScannedPhotos\1992\VO92-024.7.jpg")</f>
        <v>..\..\Imagery\ScannedPhotos\1992\VO92-024.7.jpg</v>
      </c>
    </row>
    <row r="5909" spans="1:13" x14ac:dyDescent="0.25">
      <c r="A5909" t="s">
        <v>6373</v>
      </c>
      <c r="B5909">
        <v>438475</v>
      </c>
      <c r="C5909">
        <v>5773019</v>
      </c>
      <c r="D5909">
        <v>21</v>
      </c>
      <c r="E5909" t="s">
        <v>15</v>
      </c>
      <c r="F5909" t="s">
        <v>13504</v>
      </c>
      <c r="G5909">
        <v>3</v>
      </c>
      <c r="H5909" t="s">
        <v>904</v>
      </c>
      <c r="I5909" t="s">
        <v>375</v>
      </c>
      <c r="J5909" t="s">
        <v>905</v>
      </c>
      <c r="K5909" t="s">
        <v>56</v>
      </c>
      <c r="L5909" t="s">
        <v>6375</v>
      </c>
      <c r="M5909" s="3" t="str">
        <f>HYPERLINK("..\..\Imagery\ScannedPhotos\1992\VN92-213.1.jpg")</f>
        <v>..\..\Imagery\ScannedPhotos\1992\VN92-213.1.jpg</v>
      </c>
    </row>
    <row r="5910" spans="1:13" x14ac:dyDescent="0.25">
      <c r="A5910" t="s">
        <v>6373</v>
      </c>
      <c r="B5910">
        <v>438475</v>
      </c>
      <c r="C5910">
        <v>5773019</v>
      </c>
      <c r="D5910">
        <v>21</v>
      </c>
      <c r="E5910" t="s">
        <v>15</v>
      </c>
      <c r="F5910" t="s">
        <v>13505</v>
      </c>
      <c r="G5910">
        <v>3</v>
      </c>
      <c r="H5910" t="s">
        <v>904</v>
      </c>
      <c r="I5910" t="s">
        <v>209</v>
      </c>
      <c r="J5910" t="s">
        <v>905</v>
      </c>
      <c r="K5910" t="s">
        <v>56</v>
      </c>
      <c r="L5910" t="s">
        <v>9546</v>
      </c>
      <c r="M5910" s="3" t="str">
        <f>HYPERLINK("..\..\Imagery\ScannedPhotos\1992\VN92-213.3.jpg")</f>
        <v>..\..\Imagery\ScannedPhotos\1992\VN92-213.3.jpg</v>
      </c>
    </row>
    <row r="5911" spans="1:13" x14ac:dyDescent="0.25">
      <c r="A5911" t="s">
        <v>902</v>
      </c>
      <c r="B5911">
        <v>439773</v>
      </c>
      <c r="C5911">
        <v>5775232</v>
      </c>
      <c r="D5911">
        <v>21</v>
      </c>
      <c r="E5911" t="s">
        <v>15</v>
      </c>
      <c r="F5911" t="s">
        <v>13506</v>
      </c>
      <c r="G5911">
        <v>6</v>
      </c>
      <c r="H5911" t="s">
        <v>904</v>
      </c>
      <c r="I5911" t="s">
        <v>222</v>
      </c>
      <c r="J5911" t="s">
        <v>905</v>
      </c>
      <c r="K5911" t="s">
        <v>20</v>
      </c>
      <c r="L5911" t="s">
        <v>13507</v>
      </c>
      <c r="M5911" s="3" t="str">
        <f>HYPERLINK("..\..\Imagery\ScannedPhotos\1992\VN92-218.4.jpg")</f>
        <v>..\..\Imagery\ScannedPhotos\1992\VN92-218.4.jpg</v>
      </c>
    </row>
    <row r="5912" spans="1:13" x14ac:dyDescent="0.25">
      <c r="A5912" t="s">
        <v>11431</v>
      </c>
      <c r="B5912">
        <v>539536</v>
      </c>
      <c r="C5912">
        <v>5730926</v>
      </c>
      <c r="D5912">
        <v>21</v>
      </c>
      <c r="E5912" t="s">
        <v>15</v>
      </c>
      <c r="F5912" t="s">
        <v>13508</v>
      </c>
      <c r="G5912">
        <v>14</v>
      </c>
      <c r="H5912" t="s">
        <v>1732</v>
      </c>
      <c r="I5912" t="s">
        <v>214</v>
      </c>
      <c r="J5912" t="s">
        <v>1733</v>
      </c>
      <c r="K5912" t="s">
        <v>228</v>
      </c>
      <c r="L5912" t="s">
        <v>13509</v>
      </c>
      <c r="M5912" s="3" t="str">
        <f>HYPERLINK("..\..\Imagery\ScannedPhotos\1993\VN93-033.9.jpg")</f>
        <v>..\..\Imagery\ScannedPhotos\1993\VN93-033.9.jpg</v>
      </c>
    </row>
    <row r="5913" spans="1:13" x14ac:dyDescent="0.25">
      <c r="A5913" t="s">
        <v>3553</v>
      </c>
      <c r="B5913">
        <v>575777</v>
      </c>
      <c r="C5913">
        <v>5827833</v>
      </c>
      <c r="D5913">
        <v>21</v>
      </c>
      <c r="E5913" t="s">
        <v>15</v>
      </c>
      <c r="F5913" t="s">
        <v>13510</v>
      </c>
      <c r="G5913">
        <v>7</v>
      </c>
      <c r="H5913" t="s">
        <v>288</v>
      </c>
      <c r="I5913" t="s">
        <v>304</v>
      </c>
      <c r="J5913" t="s">
        <v>289</v>
      </c>
      <c r="K5913" t="s">
        <v>20</v>
      </c>
      <c r="L5913" t="s">
        <v>13511</v>
      </c>
      <c r="M5913" s="3" t="str">
        <f>HYPERLINK("..\..\Imagery\ScannedPhotos\1986\CG86-688.1.jpg")</f>
        <v>..\..\Imagery\ScannedPhotos\1986\CG86-688.1.jpg</v>
      </c>
    </row>
    <row r="5914" spans="1:13" x14ac:dyDescent="0.25">
      <c r="A5914" t="s">
        <v>11446</v>
      </c>
      <c r="B5914">
        <v>530601</v>
      </c>
      <c r="C5914">
        <v>5819184</v>
      </c>
      <c r="D5914">
        <v>21</v>
      </c>
      <c r="E5914" t="s">
        <v>15</v>
      </c>
      <c r="F5914" t="s">
        <v>13512</v>
      </c>
      <c r="G5914">
        <v>4</v>
      </c>
      <c r="H5914" t="s">
        <v>2106</v>
      </c>
      <c r="I5914" t="s">
        <v>418</v>
      </c>
      <c r="J5914" t="s">
        <v>2107</v>
      </c>
      <c r="K5914" t="s">
        <v>535</v>
      </c>
      <c r="L5914" t="s">
        <v>11448</v>
      </c>
      <c r="M5914" s="3" t="str">
        <f>HYPERLINK("..\..\Imagery\ScannedPhotos\1986\CG86-754.3.jpg")</f>
        <v>..\..\Imagery\ScannedPhotos\1986\CG86-754.3.jpg</v>
      </c>
    </row>
    <row r="5915" spans="1:13" x14ac:dyDescent="0.25">
      <c r="A5915" t="s">
        <v>6392</v>
      </c>
      <c r="B5915">
        <v>547636</v>
      </c>
      <c r="C5915">
        <v>5806326</v>
      </c>
      <c r="D5915">
        <v>21</v>
      </c>
      <c r="E5915" t="s">
        <v>15</v>
      </c>
      <c r="F5915" t="s">
        <v>13513</v>
      </c>
      <c r="G5915">
        <v>2</v>
      </c>
      <c r="H5915" t="s">
        <v>2106</v>
      </c>
      <c r="I5915" t="s">
        <v>79</v>
      </c>
      <c r="J5915" t="s">
        <v>2107</v>
      </c>
      <c r="K5915" t="s">
        <v>56</v>
      </c>
      <c r="L5915" t="s">
        <v>6394</v>
      </c>
      <c r="M5915" s="3" t="str">
        <f>HYPERLINK("..\..\Imagery\ScannedPhotos\1987\CG87-004.2.jpg")</f>
        <v>..\..\Imagery\ScannedPhotos\1987\CG87-004.2.jpg</v>
      </c>
    </row>
    <row r="5916" spans="1:13" x14ac:dyDescent="0.25">
      <c r="A5916" t="s">
        <v>12568</v>
      </c>
      <c r="B5916">
        <v>507072</v>
      </c>
      <c r="C5916">
        <v>5899021</v>
      </c>
      <c r="D5916">
        <v>21</v>
      </c>
      <c r="E5916" t="s">
        <v>15</v>
      </c>
      <c r="F5916" t="s">
        <v>13514</v>
      </c>
      <c r="G5916">
        <v>4</v>
      </c>
      <c r="H5916" t="s">
        <v>1750</v>
      </c>
      <c r="I5916" t="s">
        <v>79</v>
      </c>
      <c r="J5916" t="s">
        <v>1751</v>
      </c>
      <c r="K5916" t="s">
        <v>228</v>
      </c>
      <c r="L5916" t="s">
        <v>13515</v>
      </c>
      <c r="M5916" s="3" t="str">
        <f>HYPERLINK("..\..\Imagery\ScannedPhotos\1987\CG87-166.3.jpg")</f>
        <v>..\..\Imagery\ScannedPhotos\1987\CG87-166.3.jpg</v>
      </c>
    </row>
    <row r="5917" spans="1:13" x14ac:dyDescent="0.25">
      <c r="A5917" t="s">
        <v>12568</v>
      </c>
      <c r="B5917">
        <v>507072</v>
      </c>
      <c r="C5917">
        <v>5899021</v>
      </c>
      <c r="D5917">
        <v>21</v>
      </c>
      <c r="E5917" t="s">
        <v>15</v>
      </c>
      <c r="F5917" t="s">
        <v>13516</v>
      </c>
      <c r="G5917">
        <v>4</v>
      </c>
      <c r="H5917" t="s">
        <v>2106</v>
      </c>
      <c r="I5917" t="s">
        <v>52</v>
      </c>
      <c r="J5917" t="s">
        <v>2107</v>
      </c>
      <c r="K5917" t="s">
        <v>20</v>
      </c>
      <c r="L5917" t="s">
        <v>12570</v>
      </c>
      <c r="M5917" s="3" t="str">
        <f>HYPERLINK("..\..\Imagery\ScannedPhotos\1987\CG87-166.1.jpg")</f>
        <v>..\..\Imagery\ScannedPhotos\1987\CG87-166.1.jpg</v>
      </c>
    </row>
    <row r="5918" spans="1:13" x14ac:dyDescent="0.25">
      <c r="A5918" t="s">
        <v>12568</v>
      </c>
      <c r="B5918">
        <v>507072</v>
      </c>
      <c r="C5918">
        <v>5899021</v>
      </c>
      <c r="D5918">
        <v>21</v>
      </c>
      <c r="E5918" t="s">
        <v>15</v>
      </c>
      <c r="F5918" t="s">
        <v>13517</v>
      </c>
      <c r="G5918">
        <v>4</v>
      </c>
      <c r="H5918" t="s">
        <v>1750</v>
      </c>
      <c r="I5918" t="s">
        <v>281</v>
      </c>
      <c r="J5918" t="s">
        <v>1751</v>
      </c>
      <c r="K5918" t="s">
        <v>20</v>
      </c>
      <c r="L5918" t="s">
        <v>12570</v>
      </c>
      <c r="M5918" s="3" t="str">
        <f>HYPERLINK("..\..\Imagery\ScannedPhotos\1987\CG87-166.4.jpg")</f>
        <v>..\..\Imagery\ScannedPhotos\1987\CG87-166.4.jpg</v>
      </c>
    </row>
    <row r="5919" spans="1:13" x14ac:dyDescent="0.25">
      <c r="A5919" t="s">
        <v>13518</v>
      </c>
      <c r="B5919">
        <v>518576</v>
      </c>
      <c r="C5919">
        <v>5886922</v>
      </c>
      <c r="D5919">
        <v>21</v>
      </c>
      <c r="E5919" t="s">
        <v>15</v>
      </c>
      <c r="F5919" t="s">
        <v>13519</v>
      </c>
      <c r="G5919">
        <v>1</v>
      </c>
      <c r="H5919" t="s">
        <v>1750</v>
      </c>
      <c r="I5919" t="s">
        <v>137</v>
      </c>
      <c r="J5919" t="s">
        <v>1751</v>
      </c>
      <c r="K5919" t="s">
        <v>20</v>
      </c>
      <c r="L5919" t="s">
        <v>13520</v>
      </c>
      <c r="M5919" s="3" t="str">
        <f>HYPERLINK("..\..\Imagery\ScannedPhotos\1987\CG87-168.jpg")</f>
        <v>..\..\Imagery\ScannedPhotos\1987\CG87-168.jpg</v>
      </c>
    </row>
    <row r="5920" spans="1:13" x14ac:dyDescent="0.25">
      <c r="A5920" t="s">
        <v>13521</v>
      </c>
      <c r="B5920">
        <v>515200</v>
      </c>
      <c r="C5920">
        <v>5894050</v>
      </c>
      <c r="D5920">
        <v>21</v>
      </c>
      <c r="E5920" t="s">
        <v>15</v>
      </c>
      <c r="F5920" t="s">
        <v>13522</v>
      </c>
      <c r="G5920">
        <v>1</v>
      </c>
      <c r="H5920" t="s">
        <v>1750</v>
      </c>
      <c r="I5920" t="s">
        <v>18</v>
      </c>
      <c r="J5920" t="s">
        <v>1751</v>
      </c>
      <c r="K5920" t="s">
        <v>20</v>
      </c>
      <c r="L5920" t="s">
        <v>13523</v>
      </c>
      <c r="M5920" s="3" t="str">
        <f>HYPERLINK("..\..\Imagery\ScannedPhotos\1987\CG87-169.jpg")</f>
        <v>..\..\Imagery\ScannedPhotos\1987\CG87-169.jpg</v>
      </c>
    </row>
    <row r="5921" spans="1:14" x14ac:dyDescent="0.25">
      <c r="A5921" t="s">
        <v>13524</v>
      </c>
      <c r="B5921">
        <v>584790</v>
      </c>
      <c r="C5921">
        <v>5809308</v>
      </c>
      <c r="D5921">
        <v>21</v>
      </c>
      <c r="E5921" t="s">
        <v>15</v>
      </c>
      <c r="F5921" t="s">
        <v>13525</v>
      </c>
      <c r="G5921">
        <v>1</v>
      </c>
      <c r="H5921" t="s">
        <v>1750</v>
      </c>
      <c r="I5921" t="s">
        <v>69</v>
      </c>
      <c r="J5921" t="s">
        <v>1751</v>
      </c>
      <c r="K5921" t="s">
        <v>20</v>
      </c>
      <c r="L5921" t="s">
        <v>13526</v>
      </c>
      <c r="M5921" s="3" t="str">
        <f>HYPERLINK("..\..\Imagery\ScannedPhotos\1987\CG87-174.jpg")</f>
        <v>..\..\Imagery\ScannedPhotos\1987\CG87-174.jpg</v>
      </c>
    </row>
    <row r="5922" spans="1:14" x14ac:dyDescent="0.25">
      <c r="A5922" t="s">
        <v>13527</v>
      </c>
      <c r="B5922">
        <v>583820</v>
      </c>
      <c r="C5922">
        <v>5807570</v>
      </c>
      <c r="D5922">
        <v>21</v>
      </c>
      <c r="E5922" t="s">
        <v>15</v>
      </c>
      <c r="F5922" t="s">
        <v>13528</v>
      </c>
      <c r="G5922">
        <v>1</v>
      </c>
      <c r="H5922" t="s">
        <v>1750</v>
      </c>
      <c r="I5922" t="s">
        <v>74</v>
      </c>
      <c r="J5922" t="s">
        <v>1751</v>
      </c>
      <c r="K5922" t="s">
        <v>56</v>
      </c>
      <c r="L5922" t="s">
        <v>13529</v>
      </c>
      <c r="M5922" s="3" t="str">
        <f>HYPERLINK("..\..\Imagery\ScannedPhotos\1987\CG87-177.jpg")</f>
        <v>..\..\Imagery\ScannedPhotos\1987\CG87-177.jpg</v>
      </c>
    </row>
    <row r="5923" spans="1:14" x14ac:dyDescent="0.25">
      <c r="A5923" t="s">
        <v>13530</v>
      </c>
      <c r="B5923">
        <v>555987</v>
      </c>
      <c r="C5923">
        <v>5784127</v>
      </c>
      <c r="D5923">
        <v>21</v>
      </c>
      <c r="E5923" t="s">
        <v>15</v>
      </c>
      <c r="F5923" t="s">
        <v>13531</v>
      </c>
      <c r="G5923">
        <v>1</v>
      </c>
      <c r="H5923" t="s">
        <v>1750</v>
      </c>
      <c r="I5923" t="s">
        <v>126</v>
      </c>
      <c r="J5923" t="s">
        <v>1751</v>
      </c>
      <c r="K5923" t="s">
        <v>20</v>
      </c>
      <c r="L5923" t="s">
        <v>13532</v>
      </c>
      <c r="M5923" s="3" t="str">
        <f>HYPERLINK("..\..\Imagery\ScannedPhotos\1987\CG87-222.jpg")</f>
        <v>..\..\Imagery\ScannedPhotos\1987\CG87-222.jpg</v>
      </c>
    </row>
    <row r="5924" spans="1:14" x14ac:dyDescent="0.25">
      <c r="A5924" t="s">
        <v>13533</v>
      </c>
      <c r="B5924">
        <v>553463</v>
      </c>
      <c r="C5924">
        <v>5777363</v>
      </c>
      <c r="D5924">
        <v>21</v>
      </c>
      <c r="E5924" t="s">
        <v>15</v>
      </c>
      <c r="F5924" t="s">
        <v>13534</v>
      </c>
      <c r="G5924">
        <v>2</v>
      </c>
      <c r="H5924" t="s">
        <v>1750</v>
      </c>
      <c r="I5924" t="s">
        <v>132</v>
      </c>
      <c r="J5924" t="s">
        <v>1751</v>
      </c>
      <c r="K5924" t="s">
        <v>56</v>
      </c>
      <c r="L5924" t="s">
        <v>13535</v>
      </c>
      <c r="M5924" s="3" t="str">
        <f>HYPERLINK("..\..\Imagery\ScannedPhotos\1987\CG87-231.1.jpg")</f>
        <v>..\..\Imagery\ScannedPhotos\1987\CG87-231.1.jpg</v>
      </c>
    </row>
    <row r="5925" spans="1:14" x14ac:dyDescent="0.25">
      <c r="A5925" t="s">
        <v>13533</v>
      </c>
      <c r="B5925">
        <v>553463</v>
      </c>
      <c r="C5925">
        <v>5777363</v>
      </c>
      <c r="D5925">
        <v>21</v>
      </c>
      <c r="E5925" t="s">
        <v>15</v>
      </c>
      <c r="F5925" t="s">
        <v>13536</v>
      </c>
      <c r="G5925">
        <v>2</v>
      </c>
      <c r="H5925" t="s">
        <v>1750</v>
      </c>
      <c r="I5925" t="s">
        <v>129</v>
      </c>
      <c r="J5925" t="s">
        <v>1751</v>
      </c>
      <c r="K5925" t="s">
        <v>56</v>
      </c>
      <c r="L5925" t="s">
        <v>13535</v>
      </c>
      <c r="M5925" s="3" t="str">
        <f>HYPERLINK("..\..\Imagery\ScannedPhotos\1987\CG87-231.2.jpg")</f>
        <v>..\..\Imagery\ScannedPhotos\1987\CG87-231.2.jpg</v>
      </c>
    </row>
    <row r="5926" spans="1:14" x14ac:dyDescent="0.25">
      <c r="A5926" t="s">
        <v>13537</v>
      </c>
      <c r="B5926">
        <v>530631</v>
      </c>
      <c r="C5926">
        <v>5790718</v>
      </c>
      <c r="D5926">
        <v>21</v>
      </c>
      <c r="E5926" t="s">
        <v>15</v>
      </c>
      <c r="F5926" t="s">
        <v>13538</v>
      </c>
      <c r="G5926">
        <v>2</v>
      </c>
      <c r="H5926" t="s">
        <v>2099</v>
      </c>
      <c r="J5926" t="s">
        <v>48</v>
      </c>
      <c r="K5926" t="s">
        <v>20</v>
      </c>
      <c r="L5926" t="s">
        <v>13539</v>
      </c>
      <c r="M5926" s="3" t="str">
        <f>HYPERLINK("..\..\Imagery\ScannedPhotos\1987\CG87-262.1.jpg")</f>
        <v>..\..\Imagery\ScannedPhotos\1987\CG87-262.1.jpg</v>
      </c>
    </row>
    <row r="5927" spans="1:14" x14ac:dyDescent="0.25">
      <c r="A5927" t="s">
        <v>13537</v>
      </c>
      <c r="B5927">
        <v>530631</v>
      </c>
      <c r="C5927">
        <v>5790718</v>
      </c>
      <c r="D5927">
        <v>21</v>
      </c>
      <c r="E5927" t="s">
        <v>15</v>
      </c>
      <c r="F5927" t="s">
        <v>13540</v>
      </c>
      <c r="G5927">
        <v>2</v>
      </c>
      <c r="H5927" t="s">
        <v>2099</v>
      </c>
      <c r="J5927" t="s">
        <v>48</v>
      </c>
      <c r="K5927" t="s">
        <v>20</v>
      </c>
      <c r="L5927" t="s">
        <v>3907</v>
      </c>
      <c r="M5927" s="3" t="str">
        <f>HYPERLINK("..\..\Imagery\ScannedPhotos\1987\CG87-262.2.jpg")</f>
        <v>..\..\Imagery\ScannedPhotos\1987\CG87-262.2.jpg</v>
      </c>
    </row>
    <row r="5928" spans="1:14" x14ac:dyDescent="0.25">
      <c r="A5928" t="s">
        <v>12582</v>
      </c>
      <c r="B5928">
        <v>578599</v>
      </c>
      <c r="C5928">
        <v>5761760</v>
      </c>
      <c r="D5928">
        <v>21</v>
      </c>
      <c r="E5928" t="s">
        <v>15</v>
      </c>
      <c r="F5928" t="s">
        <v>13541</v>
      </c>
      <c r="G5928">
        <v>2</v>
      </c>
      <c r="H5928" t="s">
        <v>1618</v>
      </c>
      <c r="I5928" t="s">
        <v>122</v>
      </c>
      <c r="J5928" t="s">
        <v>1619</v>
      </c>
      <c r="K5928" t="s">
        <v>20</v>
      </c>
      <c r="L5928" t="s">
        <v>13542</v>
      </c>
      <c r="M5928" s="3" t="str">
        <f>HYPERLINK("..\..\Imagery\ScannedPhotos\1987\CG87-415.1.jpg")</f>
        <v>..\..\Imagery\ScannedPhotos\1987\CG87-415.1.jpg</v>
      </c>
    </row>
    <row r="5929" spans="1:14" x14ac:dyDescent="0.25">
      <c r="A5929" t="s">
        <v>4914</v>
      </c>
      <c r="B5929">
        <v>491446</v>
      </c>
      <c r="C5929">
        <v>5942139</v>
      </c>
      <c r="D5929">
        <v>21</v>
      </c>
      <c r="E5929" t="s">
        <v>15</v>
      </c>
      <c r="F5929" t="s">
        <v>13543</v>
      </c>
      <c r="G5929">
        <v>2</v>
      </c>
      <c r="H5929" t="s">
        <v>46</v>
      </c>
      <c r="I5929" t="s">
        <v>304</v>
      </c>
      <c r="J5929" t="s">
        <v>48</v>
      </c>
      <c r="K5929" t="s">
        <v>20</v>
      </c>
      <c r="L5929" t="s">
        <v>4916</v>
      </c>
      <c r="M5929" s="3" t="str">
        <f>HYPERLINK("..\..\Imagery\ScannedPhotos\1981\GF81-075.1E.jpg")</f>
        <v>..\..\Imagery\ScannedPhotos\1981\GF81-075.1E.jpg</v>
      </c>
      <c r="N5929" t="s">
        <v>1808</v>
      </c>
    </row>
    <row r="5930" spans="1:14" x14ac:dyDescent="0.25">
      <c r="A5930" t="s">
        <v>8464</v>
      </c>
      <c r="B5930">
        <v>487511</v>
      </c>
      <c r="C5930">
        <v>5929245</v>
      </c>
      <c r="D5930">
        <v>21</v>
      </c>
      <c r="E5930" t="s">
        <v>15</v>
      </c>
      <c r="F5930" t="s">
        <v>13544</v>
      </c>
      <c r="G5930">
        <v>3</v>
      </c>
      <c r="H5930" t="s">
        <v>2246</v>
      </c>
      <c r="I5930" t="s">
        <v>69</v>
      </c>
      <c r="J5930" t="s">
        <v>2247</v>
      </c>
      <c r="K5930" t="s">
        <v>20</v>
      </c>
      <c r="L5930" t="s">
        <v>8466</v>
      </c>
      <c r="M5930" s="3" t="str">
        <f>HYPERLINK("..\..\Imagery\ScannedPhotos\1981\GF81-105.1cropped.jpg")</f>
        <v>..\..\Imagery\ScannedPhotos\1981\GF81-105.1cropped.jpg</v>
      </c>
      <c r="N5930" t="s">
        <v>4297</v>
      </c>
    </row>
    <row r="5931" spans="1:14" x14ac:dyDescent="0.25">
      <c r="A5931" t="s">
        <v>1135</v>
      </c>
      <c r="B5931">
        <v>400197</v>
      </c>
      <c r="C5931">
        <v>5938014</v>
      </c>
      <c r="D5931">
        <v>21</v>
      </c>
      <c r="E5931" t="s">
        <v>15</v>
      </c>
      <c r="F5931" t="s">
        <v>13545</v>
      </c>
      <c r="G5931">
        <v>3</v>
      </c>
      <c r="H5931" t="s">
        <v>46</v>
      </c>
      <c r="I5931" t="s">
        <v>147</v>
      </c>
      <c r="J5931" t="s">
        <v>48</v>
      </c>
      <c r="K5931" t="s">
        <v>20</v>
      </c>
      <c r="L5931" t="s">
        <v>1137</v>
      </c>
      <c r="M5931" s="3" t="str">
        <f>HYPERLINK("..\..\Imagery\ScannedPhotos\1981\GF81-167.3cropped.jpg")</f>
        <v>..\..\Imagery\ScannedPhotos\1981\GF81-167.3cropped.jpg</v>
      </c>
      <c r="N5931" t="s">
        <v>4297</v>
      </c>
    </row>
    <row r="5932" spans="1:14" x14ac:dyDescent="0.25">
      <c r="A5932" t="s">
        <v>7092</v>
      </c>
      <c r="B5932">
        <v>512770</v>
      </c>
      <c r="C5932">
        <v>5952776</v>
      </c>
      <c r="D5932">
        <v>21</v>
      </c>
      <c r="E5932" t="s">
        <v>15</v>
      </c>
      <c r="F5932" t="s">
        <v>13546</v>
      </c>
      <c r="G5932">
        <v>3</v>
      </c>
      <c r="H5932" t="s">
        <v>4724</v>
      </c>
      <c r="I5932" t="s">
        <v>30</v>
      </c>
      <c r="J5932" t="s">
        <v>48</v>
      </c>
      <c r="K5932" t="s">
        <v>228</v>
      </c>
      <c r="L5932" t="s">
        <v>13547</v>
      </c>
      <c r="M5932" s="3" t="str">
        <f>HYPERLINK("..\..\Imagery\ScannedPhotos\1981\VO81-023.2E.jpg")</f>
        <v>..\..\Imagery\ScannedPhotos\1981\VO81-023.2E.jpg</v>
      </c>
      <c r="N5932" t="s">
        <v>1808</v>
      </c>
    </row>
    <row r="5933" spans="1:14" x14ac:dyDescent="0.25">
      <c r="A5933" t="s">
        <v>7092</v>
      </c>
      <c r="B5933">
        <v>512770</v>
      </c>
      <c r="C5933">
        <v>5952776</v>
      </c>
      <c r="D5933">
        <v>21</v>
      </c>
      <c r="E5933" t="s">
        <v>15</v>
      </c>
      <c r="F5933" t="s">
        <v>13548</v>
      </c>
      <c r="G5933">
        <v>3</v>
      </c>
      <c r="H5933" t="s">
        <v>4724</v>
      </c>
      <c r="I5933" t="s">
        <v>119</v>
      </c>
      <c r="J5933" t="s">
        <v>48</v>
      </c>
      <c r="K5933" t="s">
        <v>228</v>
      </c>
      <c r="L5933" t="s">
        <v>13547</v>
      </c>
      <c r="M5933" s="3" t="str">
        <f>HYPERLINK("..\..\Imagery\ScannedPhotos\1981\VO81-023.3E.jpg")</f>
        <v>..\..\Imagery\ScannedPhotos\1981\VO81-023.3E.jpg</v>
      </c>
      <c r="N5933" t="s">
        <v>1808</v>
      </c>
    </row>
    <row r="5934" spans="1:14" x14ac:dyDescent="0.25">
      <c r="A5934" t="s">
        <v>7098</v>
      </c>
      <c r="B5934">
        <v>516848</v>
      </c>
      <c r="C5934">
        <v>5953188</v>
      </c>
      <c r="D5934">
        <v>21</v>
      </c>
      <c r="E5934" t="s">
        <v>15</v>
      </c>
      <c r="F5934" t="s">
        <v>13549</v>
      </c>
      <c r="G5934">
        <v>3</v>
      </c>
      <c r="H5934" t="s">
        <v>6876</v>
      </c>
      <c r="I5934" t="s">
        <v>195</v>
      </c>
      <c r="J5934" t="s">
        <v>48</v>
      </c>
      <c r="K5934" t="s">
        <v>20</v>
      </c>
      <c r="L5934" t="s">
        <v>13550</v>
      </c>
      <c r="M5934" s="3" t="str">
        <f>HYPERLINK("..\..\Imagery\ScannedPhotos\1981\VO81-058.1E.jpg")</f>
        <v>..\..\Imagery\ScannedPhotos\1981\VO81-058.1E.jpg</v>
      </c>
      <c r="N5934" t="s">
        <v>1808</v>
      </c>
    </row>
    <row r="5935" spans="1:14" x14ac:dyDescent="0.25">
      <c r="A5935" t="s">
        <v>13551</v>
      </c>
      <c r="B5935">
        <v>524356</v>
      </c>
      <c r="C5935">
        <v>5954903</v>
      </c>
      <c r="D5935">
        <v>21</v>
      </c>
      <c r="E5935" t="s">
        <v>15</v>
      </c>
      <c r="F5935" t="s">
        <v>13552</v>
      </c>
      <c r="G5935">
        <v>1</v>
      </c>
      <c r="H5935" t="s">
        <v>6876</v>
      </c>
      <c r="I5935" t="s">
        <v>143</v>
      </c>
      <c r="J5935" t="s">
        <v>48</v>
      </c>
      <c r="K5935" t="s">
        <v>20</v>
      </c>
      <c r="L5935" t="s">
        <v>13553</v>
      </c>
      <c r="M5935" s="3" t="str">
        <f>HYPERLINK("..\..\Imagery\ScannedPhotos\1981\VO81-082E.jpg")</f>
        <v>..\..\Imagery\ScannedPhotos\1981\VO81-082E.jpg</v>
      </c>
      <c r="N5935" t="s">
        <v>1808</v>
      </c>
    </row>
    <row r="5936" spans="1:14" x14ac:dyDescent="0.25">
      <c r="A5936" t="s">
        <v>13554</v>
      </c>
      <c r="B5936">
        <v>526471</v>
      </c>
      <c r="C5936">
        <v>5951101</v>
      </c>
      <c r="D5936">
        <v>21</v>
      </c>
      <c r="E5936" t="s">
        <v>15</v>
      </c>
      <c r="F5936" t="s">
        <v>13555</v>
      </c>
      <c r="G5936">
        <v>1</v>
      </c>
      <c r="H5936" t="s">
        <v>718</v>
      </c>
      <c r="I5936" t="s">
        <v>18</v>
      </c>
      <c r="J5936" t="s">
        <v>48</v>
      </c>
      <c r="K5936" t="s">
        <v>20</v>
      </c>
      <c r="L5936" t="s">
        <v>13556</v>
      </c>
      <c r="M5936" s="3" t="str">
        <f>HYPERLINK("..\..\Imagery\ScannedPhotos\1981\VO81-093E.jpg")</f>
        <v>..\..\Imagery\ScannedPhotos\1981\VO81-093E.jpg</v>
      </c>
      <c r="N5936" t="s">
        <v>1808</v>
      </c>
    </row>
    <row r="5937" spans="1:14" x14ac:dyDescent="0.25">
      <c r="A5937" t="s">
        <v>13557</v>
      </c>
      <c r="B5937">
        <v>522003</v>
      </c>
      <c r="C5937">
        <v>5953063</v>
      </c>
      <c r="D5937">
        <v>21</v>
      </c>
      <c r="E5937" t="s">
        <v>15</v>
      </c>
      <c r="F5937" t="s">
        <v>13558</v>
      </c>
      <c r="G5937">
        <v>1</v>
      </c>
      <c r="H5937" t="s">
        <v>718</v>
      </c>
      <c r="I5937" t="s">
        <v>214</v>
      </c>
      <c r="J5937" t="s">
        <v>48</v>
      </c>
      <c r="K5937" t="s">
        <v>20</v>
      </c>
      <c r="L5937" t="s">
        <v>9662</v>
      </c>
      <c r="M5937" s="3" t="str">
        <f>HYPERLINK("..\..\Imagery\ScannedPhotos\1981\VO81-104E.jpg")</f>
        <v>..\..\Imagery\ScannedPhotos\1981\VO81-104E.jpg</v>
      </c>
      <c r="N5937" t="s">
        <v>1808</v>
      </c>
    </row>
    <row r="5938" spans="1:14" x14ac:dyDescent="0.25">
      <c r="A5938" t="s">
        <v>13559</v>
      </c>
      <c r="B5938">
        <v>521592</v>
      </c>
      <c r="C5938">
        <v>5952819</v>
      </c>
      <c r="D5938">
        <v>21</v>
      </c>
      <c r="E5938" t="s">
        <v>15</v>
      </c>
      <c r="F5938" t="s">
        <v>13560</v>
      </c>
      <c r="G5938">
        <v>1</v>
      </c>
      <c r="H5938" t="s">
        <v>718</v>
      </c>
      <c r="I5938" t="s">
        <v>222</v>
      </c>
      <c r="J5938" t="s">
        <v>48</v>
      </c>
      <c r="K5938" t="s">
        <v>20</v>
      </c>
      <c r="L5938" t="s">
        <v>13561</v>
      </c>
      <c r="M5938" s="3" t="str">
        <f>HYPERLINK("..\..\Imagery\ScannedPhotos\1981\VO81-107E.jpg")</f>
        <v>..\..\Imagery\ScannedPhotos\1981\VO81-107E.jpg</v>
      </c>
      <c r="N5938" t="s">
        <v>1808</v>
      </c>
    </row>
    <row r="5939" spans="1:14" x14ac:dyDescent="0.25">
      <c r="A5939" t="s">
        <v>13562</v>
      </c>
      <c r="B5939">
        <v>426503</v>
      </c>
      <c r="C5939">
        <v>5880358</v>
      </c>
      <c r="D5939">
        <v>21</v>
      </c>
      <c r="E5939" t="s">
        <v>15</v>
      </c>
      <c r="F5939" t="s">
        <v>13563</v>
      </c>
      <c r="G5939">
        <v>1</v>
      </c>
      <c r="H5939" t="s">
        <v>754</v>
      </c>
      <c r="I5939" t="s">
        <v>79</v>
      </c>
      <c r="J5939" t="s">
        <v>563</v>
      </c>
      <c r="K5939" t="s">
        <v>20</v>
      </c>
      <c r="L5939" t="s">
        <v>13564</v>
      </c>
      <c r="M5939" s="3" t="str">
        <f>HYPERLINK("..\..\Imagery\ScannedPhotos\1995\CG95-005cropped.jpg")</f>
        <v>..\..\Imagery\ScannedPhotos\1995\CG95-005cropped.jpg</v>
      </c>
      <c r="N5939" t="s">
        <v>4297</v>
      </c>
    </row>
    <row r="5940" spans="1:14" x14ac:dyDescent="0.25">
      <c r="A5940" t="s">
        <v>3346</v>
      </c>
      <c r="B5940">
        <v>518527</v>
      </c>
      <c r="C5940">
        <v>5955730</v>
      </c>
      <c r="D5940">
        <v>21</v>
      </c>
      <c r="E5940" t="s">
        <v>15</v>
      </c>
      <c r="F5940" t="s">
        <v>13565</v>
      </c>
      <c r="G5940">
        <v>4</v>
      </c>
      <c r="H5940" t="s">
        <v>718</v>
      </c>
      <c r="I5940" t="s">
        <v>114</v>
      </c>
      <c r="J5940" t="s">
        <v>48</v>
      </c>
      <c r="K5940" t="s">
        <v>20</v>
      </c>
      <c r="L5940" t="s">
        <v>3348</v>
      </c>
      <c r="M5940" s="3" t="str">
        <f>HYPERLINK("..\..\Imagery\ScannedPhotos\1981\VO81-123.4cropped.jpg")</f>
        <v>..\..\Imagery\ScannedPhotos\1981\VO81-123.4cropped.jpg</v>
      </c>
      <c r="N5940" t="s">
        <v>4297</v>
      </c>
    </row>
    <row r="5941" spans="1:14" x14ac:dyDescent="0.25">
      <c r="A5941" t="s">
        <v>13566</v>
      </c>
      <c r="B5941">
        <v>530207</v>
      </c>
      <c r="C5941">
        <v>5956261</v>
      </c>
      <c r="D5941">
        <v>21</v>
      </c>
      <c r="E5941" t="s">
        <v>15</v>
      </c>
      <c r="F5941" t="s">
        <v>13567</v>
      </c>
      <c r="G5941">
        <v>1</v>
      </c>
      <c r="H5941" t="s">
        <v>718</v>
      </c>
      <c r="I5941" t="s">
        <v>129</v>
      </c>
      <c r="J5941" t="s">
        <v>48</v>
      </c>
      <c r="K5941" t="s">
        <v>20</v>
      </c>
      <c r="L5941" t="s">
        <v>13568</v>
      </c>
      <c r="M5941" s="3" t="str">
        <f>HYPERLINK("..\..\Imagery\ScannedPhotos\1981\VO81-137cropped.jpg")</f>
        <v>..\..\Imagery\ScannedPhotos\1981\VO81-137cropped.jpg</v>
      </c>
      <c r="N5941" t="s">
        <v>4297</v>
      </c>
    </row>
    <row r="5942" spans="1:14" x14ac:dyDescent="0.25">
      <c r="A5942" t="s">
        <v>2678</v>
      </c>
      <c r="B5942">
        <v>541105</v>
      </c>
      <c r="C5942">
        <v>5941824</v>
      </c>
      <c r="D5942">
        <v>21</v>
      </c>
      <c r="E5942" t="s">
        <v>15</v>
      </c>
      <c r="F5942" t="s">
        <v>13569</v>
      </c>
      <c r="G5942">
        <v>5</v>
      </c>
      <c r="H5942" t="s">
        <v>817</v>
      </c>
      <c r="I5942" t="s">
        <v>132</v>
      </c>
      <c r="J5942" t="s">
        <v>48</v>
      </c>
      <c r="K5942" t="s">
        <v>20</v>
      </c>
      <c r="L5942" t="s">
        <v>13570</v>
      </c>
      <c r="M5942" s="3" t="str">
        <f>HYPERLINK("..\..\Imagery\ScannedPhotos\1981\VO81-579.5E.jpg")</f>
        <v>..\..\Imagery\ScannedPhotos\1981\VO81-579.5E.jpg</v>
      </c>
      <c r="N5942" t="s">
        <v>1808</v>
      </c>
    </row>
    <row r="5943" spans="1:14" x14ac:dyDescent="0.25">
      <c r="A5943" t="s">
        <v>7333</v>
      </c>
      <c r="B5943">
        <v>485000</v>
      </c>
      <c r="C5943">
        <v>6033350</v>
      </c>
      <c r="D5943">
        <v>21</v>
      </c>
      <c r="E5943" t="s">
        <v>15</v>
      </c>
      <c r="F5943" t="s">
        <v>13571</v>
      </c>
      <c r="G5943">
        <v>3</v>
      </c>
      <c r="H5943" t="s">
        <v>1518</v>
      </c>
      <c r="I5943" t="s">
        <v>65</v>
      </c>
      <c r="J5943" t="s">
        <v>48</v>
      </c>
      <c r="K5943" t="s">
        <v>20</v>
      </c>
      <c r="L5943" t="s">
        <v>13572</v>
      </c>
      <c r="M5943" s="3" t="str">
        <f>HYPERLINK("..\..\Imagery\ScannedPhotos\1982\CG82-028.1cropped.jpg")</f>
        <v>..\..\Imagery\ScannedPhotos\1982\CG82-028.1cropped.jpg</v>
      </c>
      <c r="N5943" t="s">
        <v>4297</v>
      </c>
    </row>
    <row r="5944" spans="1:14" x14ac:dyDescent="0.25">
      <c r="A5944" t="s">
        <v>5126</v>
      </c>
      <c r="B5944">
        <v>519941</v>
      </c>
      <c r="C5944">
        <v>5719704</v>
      </c>
      <c r="D5944">
        <v>21</v>
      </c>
      <c r="E5944" t="s">
        <v>15</v>
      </c>
      <c r="F5944" t="s">
        <v>13573</v>
      </c>
      <c r="G5944">
        <v>2</v>
      </c>
      <c r="H5944" t="s">
        <v>569</v>
      </c>
      <c r="I5944" t="s">
        <v>18</v>
      </c>
      <c r="J5944" t="s">
        <v>570</v>
      </c>
      <c r="K5944" t="s">
        <v>56</v>
      </c>
      <c r="L5944" t="s">
        <v>13574</v>
      </c>
      <c r="M5944" s="3" t="str">
        <f>HYPERLINK("..\..\Imagery\ScannedPhotos\1993\CG93-187.1cropped.jpg")</f>
        <v>..\..\Imagery\ScannedPhotos\1993\CG93-187.1cropped.jpg</v>
      </c>
      <c r="N5944" t="s">
        <v>4297</v>
      </c>
    </row>
    <row r="5945" spans="1:14" x14ac:dyDescent="0.25">
      <c r="A5945" t="s">
        <v>13575</v>
      </c>
      <c r="B5945">
        <v>516984</v>
      </c>
      <c r="C5945">
        <v>5723376</v>
      </c>
      <c r="D5945">
        <v>21</v>
      </c>
      <c r="E5945" t="s">
        <v>15</v>
      </c>
      <c r="F5945" t="s">
        <v>13576</v>
      </c>
      <c r="G5945">
        <v>1</v>
      </c>
      <c r="H5945" t="s">
        <v>569</v>
      </c>
      <c r="I5945" t="s">
        <v>25</v>
      </c>
      <c r="J5945" t="s">
        <v>570</v>
      </c>
      <c r="K5945" t="s">
        <v>20</v>
      </c>
      <c r="L5945" t="s">
        <v>13577</v>
      </c>
      <c r="M5945" s="3" t="str">
        <f>HYPERLINK("..\..\Imagery\ScannedPhotos\1993\CG93-239cropped.jpg")</f>
        <v>..\..\Imagery\ScannedPhotos\1993\CG93-239cropped.jpg</v>
      </c>
      <c r="N5945" t="s">
        <v>4297</v>
      </c>
    </row>
    <row r="5946" spans="1:14" x14ac:dyDescent="0.25">
      <c r="A5946" t="s">
        <v>5542</v>
      </c>
      <c r="B5946">
        <v>520399</v>
      </c>
      <c r="C5946">
        <v>5715932</v>
      </c>
      <c r="D5946">
        <v>21</v>
      </c>
      <c r="E5946" t="s">
        <v>15</v>
      </c>
      <c r="F5946" t="s">
        <v>13578</v>
      </c>
      <c r="G5946">
        <v>3</v>
      </c>
      <c r="H5946" t="s">
        <v>569</v>
      </c>
      <c r="I5946" t="s">
        <v>122</v>
      </c>
      <c r="J5946" t="s">
        <v>570</v>
      </c>
      <c r="K5946" t="s">
        <v>56</v>
      </c>
      <c r="L5946" t="s">
        <v>5544</v>
      </c>
      <c r="M5946" s="3" t="str">
        <f>HYPERLINK("..\..\Imagery\ScannedPhotos\1993\CG93-250.1cropped.jpg")</f>
        <v>..\..\Imagery\ScannedPhotos\1993\CG93-250.1cropped.jpg</v>
      </c>
      <c r="N5946" t="s">
        <v>4297</v>
      </c>
    </row>
    <row r="5947" spans="1:14" x14ac:dyDescent="0.25">
      <c r="A5947" t="s">
        <v>13579</v>
      </c>
      <c r="B5947">
        <v>517800</v>
      </c>
      <c r="C5947">
        <v>5712558</v>
      </c>
      <c r="D5947">
        <v>21</v>
      </c>
      <c r="E5947" t="s">
        <v>15</v>
      </c>
      <c r="F5947" t="s">
        <v>13580</v>
      </c>
      <c r="G5947">
        <v>1</v>
      </c>
      <c r="H5947" t="s">
        <v>569</v>
      </c>
      <c r="I5947" t="s">
        <v>65</v>
      </c>
      <c r="J5947" t="s">
        <v>570</v>
      </c>
      <c r="K5947" t="s">
        <v>56</v>
      </c>
      <c r="L5947" t="s">
        <v>13581</v>
      </c>
      <c r="M5947" s="3" t="str">
        <f>HYPERLINK("..\..\Imagery\ScannedPhotos\1993\CG93-265cropped.jpg")</f>
        <v>..\..\Imagery\ScannedPhotos\1993\CG93-265cropped.jpg</v>
      </c>
      <c r="N5947" t="s">
        <v>4297</v>
      </c>
    </row>
    <row r="5948" spans="1:14" x14ac:dyDescent="0.25">
      <c r="A5948" t="s">
        <v>1074</v>
      </c>
      <c r="B5948">
        <v>517524</v>
      </c>
      <c r="C5948">
        <v>5712120</v>
      </c>
      <c r="D5948">
        <v>21</v>
      </c>
      <c r="E5948" t="s">
        <v>15</v>
      </c>
      <c r="F5948" t="s">
        <v>13582</v>
      </c>
      <c r="G5948">
        <v>9</v>
      </c>
      <c r="H5948" t="s">
        <v>1076</v>
      </c>
      <c r="I5948" t="s">
        <v>137</v>
      </c>
      <c r="J5948" t="s">
        <v>570</v>
      </c>
      <c r="K5948" t="s">
        <v>20</v>
      </c>
      <c r="L5948" t="s">
        <v>4669</v>
      </c>
      <c r="M5948" s="3" t="str">
        <f>HYPERLINK("..\..\Imagery\ScannedPhotos\1993\CG93-268.2cropped.jpg")</f>
        <v>..\..\Imagery\ScannedPhotos\1993\CG93-268.2cropped.jpg</v>
      </c>
      <c r="N5948" t="s">
        <v>4297</v>
      </c>
    </row>
    <row r="5949" spans="1:14" x14ac:dyDescent="0.25">
      <c r="A5949" t="s">
        <v>11380</v>
      </c>
      <c r="B5949">
        <v>547376</v>
      </c>
      <c r="C5949">
        <v>5735952</v>
      </c>
      <c r="D5949">
        <v>21</v>
      </c>
      <c r="E5949" t="s">
        <v>15</v>
      </c>
      <c r="F5949" t="s">
        <v>13583</v>
      </c>
      <c r="G5949">
        <v>4</v>
      </c>
      <c r="H5949" t="s">
        <v>1076</v>
      </c>
      <c r="I5949" t="s">
        <v>147</v>
      </c>
      <c r="J5949" t="s">
        <v>570</v>
      </c>
      <c r="K5949" t="s">
        <v>20</v>
      </c>
      <c r="L5949" t="s">
        <v>13584</v>
      </c>
      <c r="M5949" s="3" t="str">
        <f>HYPERLINK("..\..\Imagery\ScannedPhotos\1993\CG93-300.1cropped.jpg")</f>
        <v>..\..\Imagery\ScannedPhotos\1993\CG93-300.1cropped.jpg</v>
      </c>
      <c r="N5949" t="s">
        <v>4297</v>
      </c>
    </row>
    <row r="5950" spans="1:14" x14ac:dyDescent="0.25">
      <c r="A5950" t="s">
        <v>11380</v>
      </c>
      <c r="B5950">
        <v>547376</v>
      </c>
      <c r="C5950">
        <v>5735952</v>
      </c>
      <c r="D5950">
        <v>21</v>
      </c>
      <c r="E5950" t="s">
        <v>15</v>
      </c>
      <c r="F5950" t="s">
        <v>13585</v>
      </c>
      <c r="G5950">
        <v>4</v>
      </c>
      <c r="H5950" t="s">
        <v>1076</v>
      </c>
      <c r="I5950" t="s">
        <v>65</v>
      </c>
      <c r="J5950" t="s">
        <v>570</v>
      </c>
      <c r="K5950" t="s">
        <v>56</v>
      </c>
      <c r="L5950" t="s">
        <v>11382</v>
      </c>
      <c r="M5950" s="3" t="str">
        <f>HYPERLINK("..\..\Imagery\ScannedPhotos\1993\CG93-300.4cropped.jpg")</f>
        <v>..\..\Imagery\ScannedPhotos\1993\CG93-300.4cropped.jpg</v>
      </c>
      <c r="N5950" t="s">
        <v>4297</v>
      </c>
    </row>
    <row r="5951" spans="1:14" x14ac:dyDescent="0.25">
      <c r="A5951" t="s">
        <v>10280</v>
      </c>
      <c r="B5951">
        <v>549322</v>
      </c>
      <c r="C5951">
        <v>5735846</v>
      </c>
      <c r="D5951">
        <v>21</v>
      </c>
      <c r="E5951" t="s">
        <v>15</v>
      </c>
      <c r="F5951" t="s">
        <v>13586</v>
      </c>
      <c r="G5951">
        <v>4</v>
      </c>
      <c r="H5951" t="s">
        <v>7220</v>
      </c>
      <c r="I5951" t="s">
        <v>18</v>
      </c>
      <c r="J5951" t="s">
        <v>1738</v>
      </c>
      <c r="K5951" t="s">
        <v>56</v>
      </c>
      <c r="L5951" t="s">
        <v>2415</v>
      </c>
      <c r="M5951" s="3" t="str">
        <f>HYPERLINK("..\..\Imagery\ScannedPhotos\1993\CG93-306.2cropped.jpg")</f>
        <v>..\..\Imagery\ScannedPhotos\1993\CG93-306.2cropped.jpg</v>
      </c>
      <c r="N5951" t="s">
        <v>4297</v>
      </c>
    </row>
    <row r="5952" spans="1:14" x14ac:dyDescent="0.25">
      <c r="A5952" t="s">
        <v>10280</v>
      </c>
      <c r="B5952">
        <v>549322</v>
      </c>
      <c r="C5952">
        <v>5735846</v>
      </c>
      <c r="D5952">
        <v>21</v>
      </c>
      <c r="E5952" t="s">
        <v>15</v>
      </c>
      <c r="F5952" t="s">
        <v>13587</v>
      </c>
      <c r="G5952">
        <v>4</v>
      </c>
      <c r="H5952" t="s">
        <v>7220</v>
      </c>
      <c r="I5952" t="s">
        <v>35</v>
      </c>
      <c r="J5952" t="s">
        <v>1738</v>
      </c>
      <c r="K5952" t="s">
        <v>56</v>
      </c>
      <c r="L5952" t="s">
        <v>13588</v>
      </c>
      <c r="M5952" s="3" t="str">
        <f>HYPERLINK("..\..\Imagery\ScannedPhotos\1993\CG93-306.3cropped.jpg")</f>
        <v>..\..\Imagery\ScannedPhotos\1993\CG93-306.3cropped.jpg</v>
      </c>
      <c r="N5952" t="s">
        <v>4297</v>
      </c>
    </row>
    <row r="5953" spans="1:14" x14ac:dyDescent="0.25">
      <c r="A5953" t="s">
        <v>13589</v>
      </c>
      <c r="B5953">
        <v>514090</v>
      </c>
      <c r="C5953">
        <v>5718790</v>
      </c>
      <c r="D5953">
        <v>21</v>
      </c>
      <c r="E5953" t="s">
        <v>15</v>
      </c>
      <c r="F5953" t="s">
        <v>13590</v>
      </c>
      <c r="G5953">
        <v>1</v>
      </c>
      <c r="H5953" t="s">
        <v>7220</v>
      </c>
      <c r="I5953" t="s">
        <v>386</v>
      </c>
      <c r="J5953" t="s">
        <v>1738</v>
      </c>
      <c r="K5953" t="s">
        <v>56</v>
      </c>
      <c r="L5953" t="s">
        <v>13591</v>
      </c>
      <c r="M5953" s="3" t="str">
        <f>HYPERLINK("..\..\Imagery\ScannedPhotos\1993\CG93-380cropped.jpg")</f>
        <v>..\..\Imagery\ScannedPhotos\1993\CG93-380cropped.jpg</v>
      </c>
      <c r="N5953" t="s">
        <v>4297</v>
      </c>
    </row>
    <row r="5954" spans="1:14" x14ac:dyDescent="0.25">
      <c r="A5954" t="s">
        <v>7432</v>
      </c>
      <c r="B5954">
        <v>567765</v>
      </c>
      <c r="C5954">
        <v>5750190</v>
      </c>
      <c r="D5954">
        <v>21</v>
      </c>
      <c r="E5954" t="s">
        <v>15</v>
      </c>
      <c r="F5954" t="s">
        <v>13592</v>
      </c>
      <c r="G5954">
        <v>4</v>
      </c>
      <c r="H5954" t="s">
        <v>1513</v>
      </c>
      <c r="I5954" t="s">
        <v>52</v>
      </c>
      <c r="J5954" t="s">
        <v>1514</v>
      </c>
      <c r="K5954" t="s">
        <v>20</v>
      </c>
      <c r="L5954" t="s">
        <v>13593</v>
      </c>
      <c r="M5954" s="3" t="str">
        <f>HYPERLINK("..\..\Imagery\ScannedPhotos\1993\CG93-459.1cropped.jpg")</f>
        <v>..\..\Imagery\ScannedPhotos\1993\CG93-459.1cropped.jpg</v>
      </c>
      <c r="N5954" t="s">
        <v>4297</v>
      </c>
    </row>
    <row r="5955" spans="1:14" x14ac:dyDescent="0.25">
      <c r="A5955" t="s">
        <v>13594</v>
      </c>
      <c r="B5955">
        <v>492569</v>
      </c>
      <c r="C5955">
        <v>5739618</v>
      </c>
      <c r="D5955">
        <v>21</v>
      </c>
      <c r="E5955" t="s">
        <v>15</v>
      </c>
      <c r="F5955" t="s">
        <v>13595</v>
      </c>
      <c r="G5955">
        <v>3</v>
      </c>
      <c r="H5955" t="s">
        <v>1732</v>
      </c>
      <c r="I5955" t="s">
        <v>35</v>
      </c>
      <c r="J5955" t="s">
        <v>1733</v>
      </c>
      <c r="K5955" t="s">
        <v>56</v>
      </c>
      <c r="L5955" t="s">
        <v>13596</v>
      </c>
      <c r="M5955" s="3" t="str">
        <f>HYPERLINK("..\..\Imagery\ScannedPhotos\1993\CG93-479.1cropped.jpg")</f>
        <v>..\..\Imagery\ScannedPhotos\1993\CG93-479.1cropped.jpg</v>
      </c>
      <c r="N5955" t="s">
        <v>4297</v>
      </c>
    </row>
    <row r="5956" spans="1:14" x14ac:dyDescent="0.25">
      <c r="A5956" t="s">
        <v>13594</v>
      </c>
      <c r="B5956">
        <v>492569</v>
      </c>
      <c r="C5956">
        <v>5739618</v>
      </c>
      <c r="D5956">
        <v>21</v>
      </c>
      <c r="E5956" t="s">
        <v>15</v>
      </c>
      <c r="F5956" t="s">
        <v>13597</v>
      </c>
      <c r="G5956">
        <v>3</v>
      </c>
      <c r="H5956" t="s">
        <v>1732</v>
      </c>
      <c r="I5956" t="s">
        <v>69</v>
      </c>
      <c r="J5956" t="s">
        <v>1733</v>
      </c>
      <c r="K5956" t="s">
        <v>20</v>
      </c>
      <c r="L5956" t="s">
        <v>2230</v>
      </c>
      <c r="M5956" s="3" t="str">
        <f>HYPERLINK("..\..\Imagery\ScannedPhotos\1993\CG93-479.2cropped.jpg")</f>
        <v>..\..\Imagery\ScannedPhotos\1993\CG93-479.2cropped.jpg</v>
      </c>
      <c r="N5956" t="s">
        <v>4297</v>
      </c>
    </row>
    <row r="5957" spans="1:14" x14ac:dyDescent="0.25">
      <c r="A5957" t="s">
        <v>13598</v>
      </c>
      <c r="B5957">
        <v>507649</v>
      </c>
      <c r="C5957">
        <v>5743656</v>
      </c>
      <c r="D5957">
        <v>21</v>
      </c>
      <c r="E5957" t="s">
        <v>15</v>
      </c>
      <c r="F5957" t="s">
        <v>13599</v>
      </c>
      <c r="G5957">
        <v>1</v>
      </c>
      <c r="H5957" t="s">
        <v>1732</v>
      </c>
      <c r="I5957" t="s">
        <v>94</v>
      </c>
      <c r="J5957" t="s">
        <v>1733</v>
      </c>
      <c r="K5957" t="s">
        <v>56</v>
      </c>
      <c r="L5957" t="s">
        <v>13600</v>
      </c>
      <c r="M5957" s="3" t="str">
        <f>HYPERLINK("..\..\Imagery\ScannedPhotos\1993\CG93-499cropped.jpg")</f>
        <v>..\..\Imagery\ScannedPhotos\1993\CG93-499cropped.jpg</v>
      </c>
      <c r="N5957" t="s">
        <v>4297</v>
      </c>
    </row>
    <row r="5958" spans="1:14" x14ac:dyDescent="0.25">
      <c r="A5958" t="s">
        <v>13601</v>
      </c>
      <c r="B5958">
        <v>451281</v>
      </c>
      <c r="C5958">
        <v>6023067</v>
      </c>
      <c r="D5958">
        <v>21</v>
      </c>
      <c r="E5958" t="s">
        <v>15</v>
      </c>
      <c r="F5958" t="s">
        <v>13602</v>
      </c>
      <c r="G5958">
        <v>1</v>
      </c>
      <c r="H5958" t="s">
        <v>1862</v>
      </c>
      <c r="I5958" t="s">
        <v>129</v>
      </c>
      <c r="J5958" t="s">
        <v>1863</v>
      </c>
      <c r="K5958" t="s">
        <v>20</v>
      </c>
      <c r="L5958" t="s">
        <v>13603</v>
      </c>
      <c r="M5958" s="3" t="str">
        <f>HYPERLINK("..\..\Imagery\ScannedPhotos\1979\CG79-802cropped.jpg")</f>
        <v>..\..\Imagery\ScannedPhotos\1979\CG79-802cropped.jpg</v>
      </c>
      <c r="N5958" t="s">
        <v>4297</v>
      </c>
    </row>
    <row r="5959" spans="1:14" x14ac:dyDescent="0.25">
      <c r="A5959" t="s">
        <v>13604</v>
      </c>
      <c r="B5959">
        <v>446436</v>
      </c>
      <c r="C5959">
        <v>6017070</v>
      </c>
      <c r="D5959">
        <v>21</v>
      </c>
      <c r="E5959" t="s">
        <v>15</v>
      </c>
      <c r="F5959" t="s">
        <v>13605</v>
      </c>
      <c r="G5959">
        <v>1</v>
      </c>
      <c r="H5959" t="s">
        <v>2733</v>
      </c>
      <c r="I5959" t="s">
        <v>65</v>
      </c>
      <c r="J5959" t="s">
        <v>814</v>
      </c>
      <c r="K5959" t="s">
        <v>228</v>
      </c>
      <c r="L5959" t="s">
        <v>13606</v>
      </c>
      <c r="M5959" s="3" t="str">
        <f>HYPERLINK("..\..\Imagery\ScannedPhotos\1979\CG79-820E.jpg")</f>
        <v>..\..\Imagery\ScannedPhotos\1979\CG79-820E.jpg</v>
      </c>
      <c r="N5959" t="s">
        <v>1808</v>
      </c>
    </row>
    <row r="5960" spans="1:14" x14ac:dyDescent="0.25">
      <c r="A5960" t="s">
        <v>13607</v>
      </c>
      <c r="B5960">
        <v>440847</v>
      </c>
      <c r="C5960">
        <v>6028178</v>
      </c>
      <c r="D5960">
        <v>21</v>
      </c>
      <c r="E5960" t="s">
        <v>15</v>
      </c>
      <c r="F5960" t="s">
        <v>13608</v>
      </c>
      <c r="G5960">
        <v>1</v>
      </c>
      <c r="H5960" t="s">
        <v>4104</v>
      </c>
      <c r="I5960" t="s">
        <v>18</v>
      </c>
      <c r="J5960" t="s">
        <v>4105</v>
      </c>
      <c r="K5960" t="s">
        <v>228</v>
      </c>
      <c r="L5960" t="s">
        <v>13609</v>
      </c>
      <c r="M5960" s="3" t="str">
        <f>HYPERLINK("..\..\Imagery\ScannedPhotos\1979\CG79-844E.jpg")</f>
        <v>..\..\Imagery\ScannedPhotos\1979\CG79-844E.jpg</v>
      </c>
      <c r="N5960" t="s">
        <v>1808</v>
      </c>
    </row>
    <row r="5961" spans="1:14" x14ac:dyDescent="0.25">
      <c r="A5961" t="s">
        <v>13610</v>
      </c>
      <c r="B5961">
        <v>421305</v>
      </c>
      <c r="C5961">
        <v>6081581</v>
      </c>
      <c r="D5961">
        <v>21</v>
      </c>
      <c r="E5961" t="s">
        <v>15</v>
      </c>
      <c r="F5961" t="s">
        <v>13611</v>
      </c>
      <c r="G5961">
        <v>1</v>
      </c>
      <c r="H5961" t="s">
        <v>1207</v>
      </c>
      <c r="I5961" t="s">
        <v>418</v>
      </c>
      <c r="J5961" t="s">
        <v>1208</v>
      </c>
      <c r="K5961" t="s">
        <v>20</v>
      </c>
      <c r="L5961" t="s">
        <v>11780</v>
      </c>
      <c r="M5961" s="3" t="str">
        <f>HYPERLINK("..\..\Imagery\ScannedPhotos\1979\CG79-079cropped.jpg")</f>
        <v>..\..\Imagery\ScannedPhotos\1979\CG79-079cropped.jpg</v>
      </c>
      <c r="N5961" t="s">
        <v>4297</v>
      </c>
    </row>
    <row r="5962" spans="1:14" x14ac:dyDescent="0.25">
      <c r="A5962" t="s">
        <v>11980</v>
      </c>
      <c r="B5962">
        <v>415061</v>
      </c>
      <c r="C5962">
        <v>6011191</v>
      </c>
      <c r="D5962">
        <v>21</v>
      </c>
      <c r="E5962" t="s">
        <v>15</v>
      </c>
      <c r="F5962" t="s">
        <v>13612</v>
      </c>
      <c r="G5962">
        <v>3</v>
      </c>
      <c r="H5962" t="s">
        <v>2319</v>
      </c>
      <c r="I5962" t="s">
        <v>85</v>
      </c>
      <c r="J5962" t="s">
        <v>759</v>
      </c>
      <c r="K5962" t="s">
        <v>935</v>
      </c>
      <c r="L5962" t="s">
        <v>13613</v>
      </c>
      <c r="M5962" s="3" t="str">
        <f>HYPERLINK("..\..\Imagery\ScannedPhotos\1980\CG80-008.2E.jpg")</f>
        <v>..\..\Imagery\ScannedPhotos\1980\CG80-008.2E.jpg</v>
      </c>
      <c r="N5962" t="s">
        <v>1808</v>
      </c>
    </row>
    <row r="5963" spans="1:14" x14ac:dyDescent="0.25">
      <c r="A5963" t="s">
        <v>11980</v>
      </c>
      <c r="B5963">
        <v>415061</v>
      </c>
      <c r="C5963">
        <v>6011191</v>
      </c>
      <c r="D5963">
        <v>21</v>
      </c>
      <c r="E5963" t="s">
        <v>15</v>
      </c>
      <c r="F5963" t="s">
        <v>13614</v>
      </c>
      <c r="G5963">
        <v>3</v>
      </c>
      <c r="H5963" t="s">
        <v>2319</v>
      </c>
      <c r="I5963" t="s">
        <v>375</v>
      </c>
      <c r="J5963" t="s">
        <v>759</v>
      </c>
      <c r="K5963" t="s">
        <v>935</v>
      </c>
      <c r="L5963" t="s">
        <v>13613</v>
      </c>
      <c r="M5963" s="3" t="str">
        <f>HYPERLINK("..\..\Imagery\ScannedPhotos\1980\CG80-008.3E.jpg")</f>
        <v>..\..\Imagery\ScannedPhotos\1980\CG80-008.3E.jpg</v>
      </c>
      <c r="N5963" t="s">
        <v>1808</v>
      </c>
    </row>
    <row r="5964" spans="1:14" x14ac:dyDescent="0.25">
      <c r="A5964" t="s">
        <v>5560</v>
      </c>
      <c r="B5964">
        <v>409590</v>
      </c>
      <c r="C5964">
        <v>6010757</v>
      </c>
      <c r="D5964">
        <v>21</v>
      </c>
      <c r="E5964" t="s">
        <v>15</v>
      </c>
      <c r="F5964" t="s">
        <v>13615</v>
      </c>
      <c r="G5964">
        <v>2</v>
      </c>
      <c r="H5964" t="s">
        <v>2319</v>
      </c>
      <c r="I5964" t="s">
        <v>108</v>
      </c>
      <c r="J5964" t="s">
        <v>759</v>
      </c>
      <c r="K5964" t="s">
        <v>20</v>
      </c>
      <c r="L5964" t="s">
        <v>13616</v>
      </c>
      <c r="M5964" s="3" t="str">
        <f>HYPERLINK("..\..\Imagery\ScannedPhotos\1980\CG80-023.2cropped.jpg")</f>
        <v>..\..\Imagery\ScannedPhotos\1980\CG80-023.2cropped.jpg</v>
      </c>
      <c r="N5964" t="s">
        <v>4297</v>
      </c>
    </row>
    <row r="5965" spans="1:14" x14ac:dyDescent="0.25">
      <c r="A5965" t="s">
        <v>13617</v>
      </c>
      <c r="B5965">
        <v>429866</v>
      </c>
      <c r="C5965">
        <v>6009550</v>
      </c>
      <c r="D5965">
        <v>21</v>
      </c>
      <c r="E5965" t="s">
        <v>15</v>
      </c>
      <c r="F5965" t="s">
        <v>13618</v>
      </c>
      <c r="G5965">
        <v>1</v>
      </c>
      <c r="H5965" t="s">
        <v>1518</v>
      </c>
      <c r="I5965" t="s">
        <v>360</v>
      </c>
      <c r="J5965" t="s">
        <v>48</v>
      </c>
      <c r="K5965" t="s">
        <v>535</v>
      </c>
      <c r="L5965" t="s">
        <v>13619</v>
      </c>
      <c r="M5965" s="3" t="str">
        <f>HYPERLINK("..\..\Imagery\ScannedPhotos\1980\CG80-048E.jpg")</f>
        <v>..\..\Imagery\ScannedPhotos\1980\CG80-048E.jpg</v>
      </c>
      <c r="N5965" t="s">
        <v>1808</v>
      </c>
    </row>
    <row r="5966" spans="1:14" x14ac:dyDescent="0.25">
      <c r="A5966" t="s">
        <v>1004</v>
      </c>
      <c r="B5966">
        <v>430801</v>
      </c>
      <c r="C5966">
        <v>6010018</v>
      </c>
      <c r="D5966">
        <v>21</v>
      </c>
      <c r="E5966" t="s">
        <v>15</v>
      </c>
      <c r="F5966" t="s">
        <v>13620</v>
      </c>
      <c r="G5966">
        <v>5</v>
      </c>
      <c r="H5966" t="s">
        <v>1006</v>
      </c>
      <c r="I5966" t="s">
        <v>386</v>
      </c>
      <c r="J5966" t="s">
        <v>652</v>
      </c>
      <c r="K5966" t="s">
        <v>20</v>
      </c>
      <c r="L5966" t="s">
        <v>3370</v>
      </c>
      <c r="M5966" s="3" t="str">
        <f>HYPERLINK("..\..\Imagery\ScannedPhotos\1980\CG80-054.3E.jpg")</f>
        <v>..\..\Imagery\ScannedPhotos\1980\CG80-054.3E.jpg</v>
      </c>
      <c r="N5966" t="s">
        <v>1808</v>
      </c>
    </row>
    <row r="5967" spans="1:14" x14ac:dyDescent="0.25">
      <c r="A5967" t="s">
        <v>13621</v>
      </c>
      <c r="B5967">
        <v>406695</v>
      </c>
      <c r="C5967">
        <v>6004884</v>
      </c>
      <c r="D5967">
        <v>21</v>
      </c>
      <c r="E5967" t="s">
        <v>15</v>
      </c>
      <c r="F5967" t="s">
        <v>13622</v>
      </c>
      <c r="G5967">
        <v>1</v>
      </c>
      <c r="H5967" t="s">
        <v>1006</v>
      </c>
      <c r="I5967" t="s">
        <v>119</v>
      </c>
      <c r="J5967" t="s">
        <v>652</v>
      </c>
      <c r="K5967" t="s">
        <v>535</v>
      </c>
      <c r="L5967" t="s">
        <v>13623</v>
      </c>
      <c r="M5967" s="3" t="str">
        <f>HYPERLINK("..\..\Imagery\ScannedPhotos\1980\CG80-073E.jpg")</f>
        <v>..\..\Imagery\ScannedPhotos\1980\CG80-073E.jpg</v>
      </c>
      <c r="N5967" t="s">
        <v>1808</v>
      </c>
    </row>
    <row r="5968" spans="1:14" x14ac:dyDescent="0.25">
      <c r="A5968" t="s">
        <v>13624</v>
      </c>
      <c r="B5968">
        <v>406961</v>
      </c>
      <c r="C5968">
        <v>6005083</v>
      </c>
      <c r="D5968">
        <v>21</v>
      </c>
      <c r="E5968" t="s">
        <v>15</v>
      </c>
      <c r="F5968" t="s">
        <v>13625</v>
      </c>
      <c r="G5968">
        <v>1</v>
      </c>
      <c r="H5968" t="s">
        <v>1006</v>
      </c>
      <c r="I5968" t="s">
        <v>122</v>
      </c>
      <c r="J5968" t="s">
        <v>652</v>
      </c>
      <c r="K5968" t="s">
        <v>20</v>
      </c>
      <c r="L5968" t="s">
        <v>13626</v>
      </c>
      <c r="M5968" s="3" t="str">
        <f>HYPERLINK("..\..\Imagery\ScannedPhotos\1980\CG80-074cropped.jpg")</f>
        <v>..\..\Imagery\ScannedPhotos\1980\CG80-074cropped.jpg</v>
      </c>
      <c r="N5968" t="s">
        <v>4297</v>
      </c>
    </row>
    <row r="5969" spans="1:14" x14ac:dyDescent="0.25">
      <c r="A5969" t="s">
        <v>3131</v>
      </c>
      <c r="B5969">
        <v>406812</v>
      </c>
      <c r="C5969">
        <v>6004126</v>
      </c>
      <c r="D5969">
        <v>21</v>
      </c>
      <c r="E5969" t="s">
        <v>15</v>
      </c>
      <c r="F5969" t="s">
        <v>13627</v>
      </c>
      <c r="G5969">
        <v>27</v>
      </c>
      <c r="H5969" t="s">
        <v>1133</v>
      </c>
      <c r="I5969" t="s">
        <v>147</v>
      </c>
      <c r="J5969" t="s">
        <v>623</v>
      </c>
      <c r="K5969" t="s">
        <v>228</v>
      </c>
      <c r="L5969" t="s">
        <v>13628</v>
      </c>
      <c r="M5969" s="3" t="str">
        <f>HYPERLINK("..\..\Imagery\ScannedPhotos\1980\CG80-102.1E.jpg")</f>
        <v>..\..\Imagery\ScannedPhotos\1980\CG80-102.1E.jpg</v>
      </c>
      <c r="N5969" t="s">
        <v>1808</v>
      </c>
    </row>
    <row r="5970" spans="1:14" x14ac:dyDescent="0.25">
      <c r="A5970" t="s">
        <v>3131</v>
      </c>
      <c r="B5970">
        <v>406812</v>
      </c>
      <c r="C5970">
        <v>6004126</v>
      </c>
      <c r="D5970">
        <v>21</v>
      </c>
      <c r="E5970" t="s">
        <v>15</v>
      </c>
      <c r="F5970" t="s">
        <v>13629</v>
      </c>
      <c r="G5970">
        <v>27</v>
      </c>
      <c r="H5970" t="s">
        <v>1133</v>
      </c>
      <c r="I5970" t="s">
        <v>52</v>
      </c>
      <c r="J5970" t="s">
        <v>623</v>
      </c>
      <c r="K5970" t="s">
        <v>535</v>
      </c>
      <c r="L5970" t="s">
        <v>13630</v>
      </c>
      <c r="M5970" s="3" t="str">
        <f>HYPERLINK("..\..\Imagery\ScannedPhotos\1980\CG80-102.2E.jpg")</f>
        <v>..\..\Imagery\ScannedPhotos\1980\CG80-102.2E.jpg</v>
      </c>
      <c r="N5970" t="s">
        <v>1808</v>
      </c>
    </row>
    <row r="5971" spans="1:14" x14ac:dyDescent="0.25">
      <c r="A5971" t="s">
        <v>3131</v>
      </c>
      <c r="B5971">
        <v>406812</v>
      </c>
      <c r="C5971">
        <v>6004126</v>
      </c>
      <c r="D5971">
        <v>21</v>
      </c>
      <c r="E5971" t="s">
        <v>15</v>
      </c>
      <c r="F5971" t="s">
        <v>13631</v>
      </c>
      <c r="G5971">
        <v>27</v>
      </c>
      <c r="H5971" t="s">
        <v>1133</v>
      </c>
      <c r="I5971" t="s">
        <v>65</v>
      </c>
      <c r="J5971" t="s">
        <v>623</v>
      </c>
      <c r="K5971" t="s">
        <v>535</v>
      </c>
      <c r="L5971" t="s">
        <v>13632</v>
      </c>
      <c r="M5971" s="3" t="str">
        <f>HYPERLINK("..\..\Imagery\ScannedPhotos\1980\CG80-102.3E.jpg")</f>
        <v>..\..\Imagery\ScannedPhotos\1980\CG80-102.3E.jpg</v>
      </c>
      <c r="N5971" t="s">
        <v>1808</v>
      </c>
    </row>
    <row r="5972" spans="1:14" x14ac:dyDescent="0.25">
      <c r="A5972" t="s">
        <v>3131</v>
      </c>
      <c r="B5972">
        <v>406812</v>
      </c>
      <c r="C5972">
        <v>6004126</v>
      </c>
      <c r="D5972">
        <v>21</v>
      </c>
      <c r="E5972" t="s">
        <v>15</v>
      </c>
      <c r="F5972" t="s">
        <v>13633</v>
      </c>
      <c r="G5972">
        <v>27</v>
      </c>
      <c r="H5972" t="s">
        <v>806</v>
      </c>
      <c r="I5972" t="s">
        <v>79</v>
      </c>
      <c r="J5972" t="s">
        <v>807</v>
      </c>
      <c r="K5972" t="s">
        <v>535</v>
      </c>
      <c r="L5972" t="s">
        <v>13634</v>
      </c>
      <c r="M5972" s="3" t="str">
        <f>HYPERLINK("..\..\Imagery\ScannedPhotos\1980\CG80-102.5E.jpg")</f>
        <v>..\..\Imagery\ScannedPhotos\1980\CG80-102.5E.jpg</v>
      </c>
      <c r="N5972" t="s">
        <v>1808</v>
      </c>
    </row>
    <row r="5973" spans="1:14" x14ac:dyDescent="0.25">
      <c r="A5973" t="s">
        <v>3131</v>
      </c>
      <c r="B5973">
        <v>406812</v>
      </c>
      <c r="C5973">
        <v>6004126</v>
      </c>
      <c r="D5973">
        <v>21</v>
      </c>
      <c r="E5973" t="s">
        <v>15</v>
      </c>
      <c r="F5973" t="s">
        <v>13635</v>
      </c>
      <c r="G5973">
        <v>27</v>
      </c>
      <c r="H5973" t="s">
        <v>806</v>
      </c>
      <c r="I5973" t="s">
        <v>114</v>
      </c>
      <c r="J5973" t="s">
        <v>807</v>
      </c>
      <c r="K5973" t="s">
        <v>535</v>
      </c>
      <c r="L5973" t="s">
        <v>13636</v>
      </c>
      <c r="M5973" s="3" t="str">
        <f>HYPERLINK("..\..\Imagery\ScannedPhotos\1980\CG80-102.10E.jpg")</f>
        <v>..\..\Imagery\ScannedPhotos\1980\CG80-102.10E.jpg</v>
      </c>
      <c r="N5973" t="s">
        <v>1808</v>
      </c>
    </row>
    <row r="5974" spans="1:14" x14ac:dyDescent="0.25">
      <c r="A5974" t="s">
        <v>3131</v>
      </c>
      <c r="B5974">
        <v>406812</v>
      </c>
      <c r="C5974">
        <v>6004126</v>
      </c>
      <c r="D5974">
        <v>21</v>
      </c>
      <c r="E5974" t="s">
        <v>15</v>
      </c>
      <c r="F5974" t="s">
        <v>13637</v>
      </c>
      <c r="G5974">
        <v>27</v>
      </c>
      <c r="H5974" t="s">
        <v>6528</v>
      </c>
      <c r="I5974" t="s">
        <v>294</v>
      </c>
      <c r="J5974" t="s">
        <v>6529</v>
      </c>
      <c r="K5974" t="s">
        <v>535</v>
      </c>
      <c r="L5974" t="s">
        <v>13638</v>
      </c>
      <c r="M5974" s="3" t="str">
        <f>HYPERLINK("..\..\Imagery\ScannedPhotos\1980\CG80-102.13E.jpg")</f>
        <v>..\..\Imagery\ScannedPhotos\1980\CG80-102.13E.jpg</v>
      </c>
      <c r="N5974" t="s">
        <v>1808</v>
      </c>
    </row>
    <row r="5975" spans="1:14" x14ac:dyDescent="0.25">
      <c r="A5975" t="s">
        <v>3131</v>
      </c>
      <c r="B5975">
        <v>406812</v>
      </c>
      <c r="C5975">
        <v>6004126</v>
      </c>
      <c r="D5975">
        <v>21</v>
      </c>
      <c r="E5975" t="s">
        <v>15</v>
      </c>
      <c r="F5975" t="s">
        <v>13639</v>
      </c>
      <c r="G5975">
        <v>27</v>
      </c>
      <c r="H5975" t="s">
        <v>6528</v>
      </c>
      <c r="I5975" t="s">
        <v>137</v>
      </c>
      <c r="J5975" t="s">
        <v>6529</v>
      </c>
      <c r="K5975" t="s">
        <v>535</v>
      </c>
      <c r="L5975" t="s">
        <v>13640</v>
      </c>
      <c r="M5975" s="3" t="str">
        <f>HYPERLINK("..\..\Imagery\ScannedPhotos\1980\CG80-102.15E.jpg")</f>
        <v>..\..\Imagery\ScannedPhotos\1980\CG80-102.15E.jpg</v>
      </c>
      <c r="N5975" t="s">
        <v>1808</v>
      </c>
    </row>
    <row r="5976" spans="1:14" x14ac:dyDescent="0.25">
      <c r="A5976" t="s">
        <v>3131</v>
      </c>
      <c r="B5976">
        <v>406812</v>
      </c>
      <c r="C5976">
        <v>6004126</v>
      </c>
      <c r="D5976">
        <v>21</v>
      </c>
      <c r="E5976" t="s">
        <v>15</v>
      </c>
      <c r="F5976" t="s">
        <v>13641</v>
      </c>
      <c r="G5976">
        <v>27</v>
      </c>
      <c r="H5976" t="s">
        <v>6528</v>
      </c>
      <c r="I5976" t="s">
        <v>18</v>
      </c>
      <c r="J5976" t="s">
        <v>6529</v>
      </c>
      <c r="K5976" t="s">
        <v>535</v>
      </c>
      <c r="L5976" t="s">
        <v>13642</v>
      </c>
      <c r="M5976" s="3" t="str">
        <f>HYPERLINK("..\..\Imagery\ScannedPhotos\1980\CG80-102.16E.jpg")</f>
        <v>..\..\Imagery\ScannedPhotos\1980\CG80-102.16E.jpg</v>
      </c>
      <c r="N5976" t="s">
        <v>1808</v>
      </c>
    </row>
    <row r="5977" spans="1:14" x14ac:dyDescent="0.25">
      <c r="A5977" t="s">
        <v>3131</v>
      </c>
      <c r="B5977">
        <v>406812</v>
      </c>
      <c r="C5977">
        <v>6004126</v>
      </c>
      <c r="D5977">
        <v>21</v>
      </c>
      <c r="E5977" t="s">
        <v>15</v>
      </c>
      <c r="F5977" t="s">
        <v>13643</v>
      </c>
      <c r="G5977">
        <v>27</v>
      </c>
      <c r="H5977" t="s">
        <v>6528</v>
      </c>
      <c r="I5977" t="s">
        <v>35</v>
      </c>
      <c r="J5977" t="s">
        <v>6529</v>
      </c>
      <c r="K5977" t="s">
        <v>535</v>
      </c>
      <c r="L5977" t="s">
        <v>13644</v>
      </c>
      <c r="M5977" s="3" t="s">
        <v>14205</v>
      </c>
      <c r="N5977" t="s">
        <v>1808</v>
      </c>
    </row>
    <row r="5978" spans="1:14" x14ac:dyDescent="0.25">
      <c r="A5978" t="s">
        <v>3131</v>
      </c>
      <c r="B5978">
        <v>406812</v>
      </c>
      <c r="C5978">
        <v>6004126</v>
      </c>
      <c r="D5978">
        <v>21</v>
      </c>
      <c r="E5978" t="s">
        <v>15</v>
      </c>
      <c r="F5978" t="s">
        <v>13645</v>
      </c>
      <c r="G5978">
        <v>27</v>
      </c>
      <c r="H5978" t="s">
        <v>6528</v>
      </c>
      <c r="I5978" t="s">
        <v>69</v>
      </c>
      <c r="J5978" t="s">
        <v>6529</v>
      </c>
      <c r="K5978" t="s">
        <v>535</v>
      </c>
      <c r="L5978" t="s">
        <v>13646</v>
      </c>
      <c r="M5978" s="3" t="str">
        <f>HYPERLINK("..\..\Imagery\ScannedPhotos\1980\CG80-102.18E.jpg")</f>
        <v>..\..\Imagery\ScannedPhotos\1980\CG80-102.18E.jpg</v>
      </c>
      <c r="N5978" t="s">
        <v>1808</v>
      </c>
    </row>
    <row r="5979" spans="1:14" x14ac:dyDescent="0.25">
      <c r="A5979" t="s">
        <v>3131</v>
      </c>
      <c r="B5979">
        <v>406812</v>
      </c>
      <c r="C5979">
        <v>6004126</v>
      </c>
      <c r="D5979">
        <v>21</v>
      </c>
      <c r="E5979" t="s">
        <v>15</v>
      </c>
      <c r="F5979" t="s">
        <v>13647</v>
      </c>
      <c r="G5979">
        <v>27</v>
      </c>
      <c r="H5979" t="s">
        <v>6528</v>
      </c>
      <c r="I5979" t="s">
        <v>74</v>
      </c>
      <c r="J5979" t="s">
        <v>6529</v>
      </c>
      <c r="K5979" t="s">
        <v>535</v>
      </c>
      <c r="L5979" t="s">
        <v>13648</v>
      </c>
      <c r="M5979" s="3" t="str">
        <f>HYPERLINK("..\..\Imagery\ScannedPhotos\1980\CG80-102.19E.jpg")</f>
        <v>..\..\Imagery\ScannedPhotos\1980\CG80-102.19E.jpg</v>
      </c>
      <c r="N5979" t="s">
        <v>1808</v>
      </c>
    </row>
    <row r="5980" spans="1:14" x14ac:dyDescent="0.25">
      <c r="A5980" t="s">
        <v>3131</v>
      </c>
      <c r="B5980">
        <v>406812</v>
      </c>
      <c r="C5980">
        <v>6004126</v>
      </c>
      <c r="D5980">
        <v>21</v>
      </c>
      <c r="E5980" t="s">
        <v>15</v>
      </c>
      <c r="F5980" t="s">
        <v>13649</v>
      </c>
      <c r="G5980">
        <v>27</v>
      </c>
      <c r="H5980" t="s">
        <v>6528</v>
      </c>
      <c r="I5980" t="s">
        <v>41</v>
      </c>
      <c r="J5980" t="s">
        <v>6529</v>
      </c>
      <c r="K5980" t="s">
        <v>535</v>
      </c>
      <c r="L5980" t="s">
        <v>13650</v>
      </c>
      <c r="M5980" s="3" t="str">
        <f>HYPERLINK("..\..\Imagery\ScannedPhotos\1980\CG80-102.20E.jpg")</f>
        <v>..\..\Imagery\ScannedPhotos\1980\CG80-102.20E.jpg</v>
      </c>
      <c r="N5980" t="s">
        <v>1808</v>
      </c>
    </row>
    <row r="5981" spans="1:14" x14ac:dyDescent="0.25">
      <c r="A5981" t="s">
        <v>3131</v>
      </c>
      <c r="B5981">
        <v>406812</v>
      </c>
      <c r="C5981">
        <v>6004126</v>
      </c>
      <c r="D5981">
        <v>21</v>
      </c>
      <c r="E5981" t="s">
        <v>15</v>
      </c>
      <c r="F5981" t="s">
        <v>13651</v>
      </c>
      <c r="G5981">
        <v>27</v>
      </c>
      <c r="H5981" t="s">
        <v>6528</v>
      </c>
      <c r="I5981" t="s">
        <v>94</v>
      </c>
      <c r="J5981" t="s">
        <v>6529</v>
      </c>
      <c r="K5981" t="s">
        <v>535</v>
      </c>
      <c r="L5981" t="s">
        <v>13652</v>
      </c>
      <c r="M5981" s="3" t="str">
        <f>HYPERLINK("..\..\Imagery\ScannedPhotos\1980\CG80-102.23E.jpg")</f>
        <v>..\..\Imagery\ScannedPhotos\1980\CG80-102.23E.jpg</v>
      </c>
      <c r="N5981" t="s">
        <v>1808</v>
      </c>
    </row>
    <row r="5982" spans="1:14" x14ac:dyDescent="0.25">
      <c r="A5982" t="s">
        <v>3131</v>
      </c>
      <c r="B5982">
        <v>406812</v>
      </c>
      <c r="C5982">
        <v>6004126</v>
      </c>
      <c r="D5982">
        <v>21</v>
      </c>
      <c r="E5982" t="s">
        <v>15</v>
      </c>
      <c r="F5982" t="s">
        <v>13653</v>
      </c>
      <c r="G5982">
        <v>27</v>
      </c>
      <c r="H5982" t="s">
        <v>6528</v>
      </c>
      <c r="I5982" t="s">
        <v>209</v>
      </c>
      <c r="J5982" t="s">
        <v>6529</v>
      </c>
      <c r="K5982" t="s">
        <v>535</v>
      </c>
      <c r="L5982" t="s">
        <v>13654</v>
      </c>
      <c r="M5982" s="3" t="str">
        <f>HYPERLINK("..\..\Imagery\ScannedPhotos\1980\CG80-102.24E.jpg")</f>
        <v>..\..\Imagery\ScannedPhotos\1980\CG80-102.24E.jpg</v>
      </c>
      <c r="N5982" t="s">
        <v>1808</v>
      </c>
    </row>
    <row r="5983" spans="1:14" x14ac:dyDescent="0.25">
      <c r="A5983" t="s">
        <v>3131</v>
      </c>
      <c r="B5983">
        <v>406812</v>
      </c>
      <c r="C5983">
        <v>6004126</v>
      </c>
      <c r="D5983">
        <v>21</v>
      </c>
      <c r="E5983" t="s">
        <v>15</v>
      </c>
      <c r="F5983" t="s">
        <v>13655</v>
      </c>
      <c r="G5983">
        <v>27</v>
      </c>
      <c r="H5983" t="s">
        <v>6528</v>
      </c>
      <c r="I5983" t="s">
        <v>386</v>
      </c>
      <c r="J5983" t="s">
        <v>6529</v>
      </c>
      <c r="K5983" t="s">
        <v>535</v>
      </c>
      <c r="L5983" t="s">
        <v>13656</v>
      </c>
      <c r="M5983" s="3" t="str">
        <f>HYPERLINK("..\..\Imagery\ScannedPhotos\1980\CG80-102.25E.jpg")</f>
        <v>..\..\Imagery\ScannedPhotos\1980\CG80-102.25E.jpg</v>
      </c>
      <c r="N5983" t="s">
        <v>1808</v>
      </c>
    </row>
    <row r="5984" spans="1:14" x14ac:dyDescent="0.25">
      <c r="A5984" t="s">
        <v>3131</v>
      </c>
      <c r="B5984">
        <v>406812</v>
      </c>
      <c r="C5984">
        <v>6004126</v>
      </c>
      <c r="D5984">
        <v>21</v>
      </c>
      <c r="E5984" t="s">
        <v>15</v>
      </c>
      <c r="F5984" t="s">
        <v>13657</v>
      </c>
      <c r="G5984">
        <v>27</v>
      </c>
      <c r="H5984" t="s">
        <v>2319</v>
      </c>
      <c r="I5984" t="s">
        <v>79</v>
      </c>
      <c r="J5984" t="s">
        <v>759</v>
      </c>
      <c r="K5984" t="s">
        <v>535</v>
      </c>
      <c r="L5984" t="s">
        <v>13658</v>
      </c>
      <c r="M5984" s="3" t="str">
        <f>HYPERLINK("..\..\Imagery\ScannedPhotos\1980\CG80-102.26E.jpg")</f>
        <v>..\..\Imagery\ScannedPhotos\1980\CG80-102.26E.jpg</v>
      </c>
      <c r="N5984" t="s">
        <v>1808</v>
      </c>
    </row>
    <row r="5985" spans="1:14" x14ac:dyDescent="0.25">
      <c r="A5985" t="s">
        <v>3131</v>
      </c>
      <c r="B5985">
        <v>406812</v>
      </c>
      <c r="C5985">
        <v>6004126</v>
      </c>
      <c r="D5985">
        <v>21</v>
      </c>
      <c r="E5985" t="s">
        <v>15</v>
      </c>
      <c r="F5985" t="s">
        <v>13659</v>
      </c>
      <c r="G5985">
        <v>27</v>
      </c>
      <c r="H5985" t="s">
        <v>2319</v>
      </c>
      <c r="I5985" t="s">
        <v>294</v>
      </c>
      <c r="J5985" t="s">
        <v>759</v>
      </c>
      <c r="K5985" t="s">
        <v>535</v>
      </c>
      <c r="L5985" t="s">
        <v>13660</v>
      </c>
      <c r="M5985" s="3" t="str">
        <f>HYPERLINK("..\..\Imagery\ScannedPhotos\1980\CG80-102.27E.jpg")</f>
        <v>..\..\Imagery\ScannedPhotos\1980\CG80-102.27E.jpg</v>
      </c>
      <c r="N5985" t="s">
        <v>1808</v>
      </c>
    </row>
    <row r="5986" spans="1:14" x14ac:dyDescent="0.25">
      <c r="A5986" t="s">
        <v>6057</v>
      </c>
      <c r="B5986">
        <v>404232</v>
      </c>
      <c r="C5986">
        <v>6000130</v>
      </c>
      <c r="D5986">
        <v>21</v>
      </c>
      <c r="E5986" t="s">
        <v>15</v>
      </c>
      <c r="F5986" t="s">
        <v>13661</v>
      </c>
      <c r="G5986">
        <v>7</v>
      </c>
      <c r="H5986" t="s">
        <v>1156</v>
      </c>
      <c r="I5986" t="s">
        <v>35</v>
      </c>
      <c r="J5986" t="s">
        <v>95</v>
      </c>
      <c r="K5986" t="s">
        <v>228</v>
      </c>
      <c r="L5986" t="s">
        <v>13662</v>
      </c>
      <c r="M5986" s="3" t="str">
        <f>HYPERLINK("..\..\Imagery\ScannedPhotos\1980\CG80-113.7E.jpg")</f>
        <v>..\..\Imagery\ScannedPhotos\1980\CG80-113.7E.jpg</v>
      </c>
      <c r="N5986" t="s">
        <v>1808</v>
      </c>
    </row>
    <row r="5987" spans="1:14" x14ac:dyDescent="0.25">
      <c r="A5987" t="s">
        <v>3739</v>
      </c>
      <c r="B5987">
        <v>400840</v>
      </c>
      <c r="C5987">
        <v>5998233</v>
      </c>
      <c r="D5987">
        <v>21</v>
      </c>
      <c r="E5987" t="s">
        <v>15</v>
      </c>
      <c r="F5987" t="s">
        <v>13663</v>
      </c>
      <c r="G5987">
        <v>3</v>
      </c>
      <c r="H5987" t="s">
        <v>1156</v>
      </c>
      <c r="I5987" t="s">
        <v>41</v>
      </c>
      <c r="J5987" t="s">
        <v>95</v>
      </c>
      <c r="K5987" t="s">
        <v>535</v>
      </c>
      <c r="L5987" t="s">
        <v>13664</v>
      </c>
      <c r="M5987" s="3" t="str">
        <f>HYPERLINK("..\..\Imagery\ScannedPhotos\1980\CG80-122.2E.jpg")</f>
        <v>..\..\Imagery\ScannedPhotos\1980\CG80-122.2E.jpg</v>
      </c>
      <c r="N5987" t="s">
        <v>1808</v>
      </c>
    </row>
    <row r="5988" spans="1:14" x14ac:dyDescent="0.25">
      <c r="A5988" t="s">
        <v>3739</v>
      </c>
      <c r="B5988">
        <v>400840</v>
      </c>
      <c r="C5988">
        <v>5998233</v>
      </c>
      <c r="D5988">
        <v>21</v>
      </c>
      <c r="E5988" t="s">
        <v>15</v>
      </c>
      <c r="F5988" t="s">
        <v>13665</v>
      </c>
      <c r="G5988">
        <v>3</v>
      </c>
      <c r="H5988" t="s">
        <v>1156</v>
      </c>
      <c r="I5988" t="s">
        <v>85</v>
      </c>
      <c r="J5988" t="s">
        <v>95</v>
      </c>
      <c r="K5988" t="s">
        <v>535</v>
      </c>
      <c r="L5988" t="s">
        <v>13664</v>
      </c>
      <c r="M5988" s="3" t="str">
        <f>HYPERLINK("..\..\Imagery\ScannedPhotos\1980\CG80-122.3E.jpg")</f>
        <v>..\..\Imagery\ScannedPhotos\1980\CG80-122.3E.jpg</v>
      </c>
      <c r="N5988" t="s">
        <v>1808</v>
      </c>
    </row>
    <row r="5989" spans="1:14" x14ac:dyDescent="0.25">
      <c r="A5989" t="s">
        <v>5962</v>
      </c>
      <c r="B5989">
        <v>403510</v>
      </c>
      <c r="C5989">
        <v>5996568</v>
      </c>
      <c r="D5989">
        <v>21</v>
      </c>
      <c r="E5989" t="s">
        <v>15</v>
      </c>
      <c r="F5989" t="s">
        <v>13666</v>
      </c>
      <c r="G5989">
        <v>2</v>
      </c>
      <c r="H5989" t="s">
        <v>1156</v>
      </c>
      <c r="I5989" t="s">
        <v>386</v>
      </c>
      <c r="J5989" t="s">
        <v>95</v>
      </c>
      <c r="K5989" t="s">
        <v>20</v>
      </c>
      <c r="L5989" t="s">
        <v>5462</v>
      </c>
      <c r="M5989" s="3" t="str">
        <f>HYPERLINK("..\..\Imagery\ScannedPhotos\1980\CG80-127.1E.jpg")</f>
        <v>..\..\Imagery\ScannedPhotos\1980\CG80-127.1E.jpg</v>
      </c>
      <c r="N5989" t="s">
        <v>1808</v>
      </c>
    </row>
    <row r="5990" spans="1:14" x14ac:dyDescent="0.25">
      <c r="A5990" t="s">
        <v>13667</v>
      </c>
      <c r="B5990">
        <v>404013</v>
      </c>
      <c r="C5990">
        <v>5996676</v>
      </c>
      <c r="D5990">
        <v>21</v>
      </c>
      <c r="E5990" t="s">
        <v>15</v>
      </c>
      <c r="F5990" t="s">
        <v>13668</v>
      </c>
      <c r="G5990">
        <v>1</v>
      </c>
      <c r="H5990" t="s">
        <v>1156</v>
      </c>
      <c r="I5990" t="s">
        <v>214</v>
      </c>
      <c r="J5990" t="s">
        <v>95</v>
      </c>
      <c r="K5990" t="s">
        <v>20</v>
      </c>
      <c r="L5990" t="s">
        <v>5462</v>
      </c>
      <c r="M5990" s="3" t="str">
        <f>HYPERLINK("..\..\Imagery\ScannedPhotos\1980\CG80-128E.jpg")</f>
        <v>..\..\Imagery\ScannedPhotos\1980\CG80-128E.jpg</v>
      </c>
      <c r="N5990" t="s">
        <v>1808</v>
      </c>
    </row>
    <row r="5991" spans="1:14" x14ac:dyDescent="0.25">
      <c r="A5991" t="s">
        <v>9275</v>
      </c>
      <c r="B5991">
        <v>471470</v>
      </c>
      <c r="C5991">
        <v>6004481</v>
      </c>
      <c r="D5991">
        <v>21</v>
      </c>
      <c r="E5991" t="s">
        <v>15</v>
      </c>
      <c r="F5991" t="s">
        <v>13669</v>
      </c>
      <c r="G5991">
        <v>14</v>
      </c>
      <c r="H5991" t="s">
        <v>806</v>
      </c>
      <c r="I5991" t="s">
        <v>418</v>
      </c>
      <c r="J5991" t="s">
        <v>807</v>
      </c>
      <c r="K5991" t="s">
        <v>20</v>
      </c>
      <c r="L5991" t="s">
        <v>11326</v>
      </c>
      <c r="M5991" s="3" t="str">
        <f>HYPERLINK("..\..\Imagery\ScannedPhotos\1980\CG80-350.8cropped.jpg")</f>
        <v>..\..\Imagery\ScannedPhotos\1980\CG80-350.8cropped.jpg</v>
      </c>
      <c r="N5991" t="s">
        <v>4297</v>
      </c>
    </row>
    <row r="5992" spans="1:14" x14ac:dyDescent="0.25">
      <c r="A5992" t="s">
        <v>9275</v>
      </c>
      <c r="B5992">
        <v>471470</v>
      </c>
      <c r="C5992">
        <v>6004481</v>
      </c>
      <c r="D5992">
        <v>21</v>
      </c>
      <c r="E5992" t="s">
        <v>15</v>
      </c>
      <c r="F5992" t="s">
        <v>13670</v>
      </c>
      <c r="G5992">
        <v>14</v>
      </c>
      <c r="H5992" t="s">
        <v>806</v>
      </c>
      <c r="I5992" t="s">
        <v>304</v>
      </c>
      <c r="J5992" t="s">
        <v>807</v>
      </c>
      <c r="K5992" t="s">
        <v>20</v>
      </c>
      <c r="L5992" t="s">
        <v>13671</v>
      </c>
      <c r="M5992" s="3" t="str">
        <f>HYPERLINK("..\..\Imagery\ScannedPhotos\1980\CG80-350.9E.jpg")</f>
        <v>..\..\Imagery\ScannedPhotos\1980\CG80-350.9E.jpg</v>
      </c>
      <c r="N5992" t="s">
        <v>1808</v>
      </c>
    </row>
    <row r="5993" spans="1:14" x14ac:dyDescent="0.25">
      <c r="A5993" t="s">
        <v>9275</v>
      </c>
      <c r="B5993">
        <v>471470</v>
      </c>
      <c r="C5993">
        <v>6004481</v>
      </c>
      <c r="D5993">
        <v>21</v>
      </c>
      <c r="E5993" t="s">
        <v>15</v>
      </c>
      <c r="F5993" t="s">
        <v>13672</v>
      </c>
      <c r="G5993">
        <v>14</v>
      </c>
      <c r="H5993" t="s">
        <v>5650</v>
      </c>
      <c r="I5993" t="s">
        <v>209</v>
      </c>
      <c r="J5993" t="s">
        <v>5651</v>
      </c>
      <c r="K5993" t="s">
        <v>20</v>
      </c>
      <c r="L5993" t="s">
        <v>13040</v>
      </c>
      <c r="M5993" s="3" t="str">
        <f>HYPERLINK("..\..\Imagery\ScannedPhotos\1980\CG80-350.13cropped.jpg")</f>
        <v>..\..\Imagery\ScannedPhotos\1980\CG80-350.13cropped.jpg</v>
      </c>
      <c r="N5993" t="s">
        <v>4297</v>
      </c>
    </row>
    <row r="5994" spans="1:14" x14ac:dyDescent="0.25">
      <c r="A5994" t="s">
        <v>9282</v>
      </c>
      <c r="B5994">
        <v>472175</v>
      </c>
      <c r="C5994">
        <v>6004386</v>
      </c>
      <c r="D5994">
        <v>21</v>
      </c>
      <c r="E5994" t="s">
        <v>15</v>
      </c>
      <c r="F5994" t="s">
        <v>13673</v>
      </c>
      <c r="G5994">
        <v>2</v>
      </c>
      <c r="H5994" t="s">
        <v>1326</v>
      </c>
      <c r="I5994" t="s">
        <v>360</v>
      </c>
      <c r="J5994" t="s">
        <v>95</v>
      </c>
      <c r="K5994" t="s">
        <v>20</v>
      </c>
      <c r="L5994" t="s">
        <v>9284</v>
      </c>
      <c r="M5994" s="3" t="str">
        <f>HYPERLINK("..\..\Imagery\ScannedPhotos\1980\CG80-351.2cropped.jpg")</f>
        <v>..\..\Imagery\ScannedPhotos\1980\CG80-351.2cropped.jpg</v>
      </c>
      <c r="N5994" t="s">
        <v>4297</v>
      </c>
    </row>
    <row r="5995" spans="1:14" x14ac:dyDescent="0.25">
      <c r="A5995" t="s">
        <v>13674</v>
      </c>
      <c r="B5995">
        <v>476174</v>
      </c>
      <c r="C5995">
        <v>5998070</v>
      </c>
      <c r="D5995">
        <v>21</v>
      </c>
      <c r="E5995" t="s">
        <v>15</v>
      </c>
      <c r="F5995" t="s">
        <v>13675</v>
      </c>
      <c r="G5995">
        <v>1</v>
      </c>
      <c r="H5995" t="s">
        <v>1326</v>
      </c>
      <c r="I5995" t="s">
        <v>147</v>
      </c>
      <c r="J5995" t="s">
        <v>95</v>
      </c>
      <c r="K5995" t="s">
        <v>228</v>
      </c>
      <c r="L5995" t="s">
        <v>13676</v>
      </c>
      <c r="M5995" s="3" t="str">
        <f>HYPERLINK("..\..\Imagery\ScannedPhotos\1980\CG80-397E.jpg")</f>
        <v>..\..\Imagery\ScannedPhotos\1980\CG80-397E.jpg</v>
      </c>
      <c r="N5995" t="s">
        <v>1808</v>
      </c>
    </row>
    <row r="5996" spans="1:14" x14ac:dyDescent="0.25">
      <c r="A5996" t="s">
        <v>9478</v>
      </c>
      <c r="B5996">
        <v>476771</v>
      </c>
      <c r="C5996">
        <v>5992583</v>
      </c>
      <c r="D5996">
        <v>21</v>
      </c>
      <c r="E5996" t="s">
        <v>15</v>
      </c>
      <c r="F5996" t="s">
        <v>13677</v>
      </c>
      <c r="G5996">
        <v>2</v>
      </c>
      <c r="H5996" t="s">
        <v>806</v>
      </c>
      <c r="I5996" t="s">
        <v>360</v>
      </c>
      <c r="J5996" t="s">
        <v>807</v>
      </c>
      <c r="K5996" t="s">
        <v>228</v>
      </c>
      <c r="L5996" t="s">
        <v>13678</v>
      </c>
      <c r="M5996" s="3" t="str">
        <f>HYPERLINK("..\..\Imagery\ScannedPhotos\1980\CG80-639.1E.jpg")</f>
        <v>..\..\Imagery\ScannedPhotos\1980\CG80-639.1E.jpg</v>
      </c>
      <c r="N5996" t="s">
        <v>1808</v>
      </c>
    </row>
    <row r="5997" spans="1:14" x14ac:dyDescent="0.25">
      <c r="A5997" t="s">
        <v>13679</v>
      </c>
      <c r="B5997">
        <v>456642</v>
      </c>
      <c r="C5997">
        <v>5997651</v>
      </c>
      <c r="D5997">
        <v>21</v>
      </c>
      <c r="E5997" t="s">
        <v>15</v>
      </c>
      <c r="F5997" t="s">
        <v>13680</v>
      </c>
      <c r="G5997">
        <v>1</v>
      </c>
      <c r="H5997" t="s">
        <v>2733</v>
      </c>
      <c r="I5997" t="s">
        <v>52</v>
      </c>
      <c r="J5997" t="s">
        <v>814</v>
      </c>
      <c r="K5997" t="s">
        <v>228</v>
      </c>
      <c r="L5997" t="s">
        <v>13681</v>
      </c>
      <c r="M5997" s="3" t="str">
        <f>HYPERLINK("..\..\Imagery\ScannedPhotos\1980\CG80-645E.jpg")</f>
        <v>..\..\Imagery\ScannedPhotos\1980\CG80-645E.jpg</v>
      </c>
      <c r="N5997" t="s">
        <v>1808</v>
      </c>
    </row>
    <row r="5998" spans="1:14" x14ac:dyDescent="0.25">
      <c r="A5998" t="s">
        <v>11356</v>
      </c>
      <c r="B5998">
        <v>379603</v>
      </c>
      <c r="C5998">
        <v>6006252</v>
      </c>
      <c r="D5998">
        <v>21</v>
      </c>
      <c r="E5998" t="s">
        <v>15</v>
      </c>
      <c r="F5998" t="s">
        <v>13682</v>
      </c>
      <c r="G5998">
        <v>4</v>
      </c>
      <c r="J5998" t="s">
        <v>13683</v>
      </c>
      <c r="K5998" t="s">
        <v>20</v>
      </c>
      <c r="L5998" t="s">
        <v>11358</v>
      </c>
      <c r="M5998" s="3" t="str">
        <f>HYPERLINK("..\..\Imagery\ScannedPhotos\1980\CG80-685.1E.jpg")</f>
        <v>..\..\Imagery\ScannedPhotos\1980\CG80-685.1E.jpg</v>
      </c>
      <c r="N5998" t="s">
        <v>1808</v>
      </c>
    </row>
    <row r="5999" spans="1:14" x14ac:dyDescent="0.25">
      <c r="A5999" t="s">
        <v>11356</v>
      </c>
      <c r="B5999">
        <v>379603</v>
      </c>
      <c r="C5999">
        <v>6006252</v>
      </c>
      <c r="D5999">
        <v>21</v>
      </c>
      <c r="E5999" t="s">
        <v>15</v>
      </c>
      <c r="F5999" t="s">
        <v>13684</v>
      </c>
      <c r="G5999">
        <v>4</v>
      </c>
      <c r="H5999" t="s">
        <v>806</v>
      </c>
      <c r="I5999" t="s">
        <v>119</v>
      </c>
      <c r="J5999" t="s">
        <v>807</v>
      </c>
      <c r="K5999" t="s">
        <v>20</v>
      </c>
      <c r="L5999" t="s">
        <v>11358</v>
      </c>
      <c r="M5999" s="3" t="str">
        <f>HYPERLINK("..\..\Imagery\ScannedPhotos\1980\CG80-685.2cropped.jpg")</f>
        <v>..\..\Imagery\ScannedPhotos\1980\CG80-685.2cropped.jpg</v>
      </c>
      <c r="N5999" t="s">
        <v>4297</v>
      </c>
    </row>
    <row r="6000" spans="1:14" x14ac:dyDescent="0.25">
      <c r="A6000" t="s">
        <v>9386</v>
      </c>
      <c r="B6000">
        <v>473034</v>
      </c>
      <c r="C6000">
        <v>6007960</v>
      </c>
      <c r="D6000">
        <v>21</v>
      </c>
      <c r="E6000" t="s">
        <v>15</v>
      </c>
      <c r="F6000" t="s">
        <v>13685</v>
      </c>
      <c r="G6000">
        <v>4</v>
      </c>
      <c r="H6000" t="s">
        <v>806</v>
      </c>
      <c r="I6000" t="s">
        <v>132</v>
      </c>
      <c r="J6000" t="s">
        <v>807</v>
      </c>
      <c r="K6000" t="s">
        <v>20</v>
      </c>
      <c r="L6000" t="s">
        <v>13686</v>
      </c>
      <c r="M6000" s="3" t="str">
        <f>HYPERLINK("..\..\Imagery\ScannedPhotos\1980\CG80-694.1cropped.jpg")</f>
        <v>..\..\Imagery\ScannedPhotos\1980\CG80-694.1cropped.jpg</v>
      </c>
      <c r="N6000" t="s">
        <v>4297</v>
      </c>
    </row>
    <row r="6001" spans="1:14" x14ac:dyDescent="0.25">
      <c r="A6001" t="s">
        <v>9386</v>
      </c>
      <c r="B6001">
        <v>473034</v>
      </c>
      <c r="C6001">
        <v>6007960</v>
      </c>
      <c r="D6001">
        <v>21</v>
      </c>
      <c r="E6001" t="s">
        <v>15</v>
      </c>
      <c r="F6001" t="s">
        <v>13687</v>
      </c>
      <c r="G6001">
        <v>4</v>
      </c>
      <c r="H6001" t="s">
        <v>806</v>
      </c>
      <c r="I6001" t="s">
        <v>147</v>
      </c>
      <c r="J6001" t="s">
        <v>807</v>
      </c>
      <c r="K6001" t="s">
        <v>20</v>
      </c>
      <c r="L6001" t="s">
        <v>9388</v>
      </c>
      <c r="M6001" s="3" t="str">
        <f>HYPERLINK("..\..\Imagery\ScannedPhotos\1980\CG80-694.4cropped.jpg")</f>
        <v>..\..\Imagery\ScannedPhotos\1980\CG80-694.4cropped.jpg</v>
      </c>
      <c r="N6001" t="s">
        <v>4297</v>
      </c>
    </row>
    <row r="6002" spans="1:14" x14ac:dyDescent="0.25">
      <c r="A6002" t="s">
        <v>9389</v>
      </c>
      <c r="B6002">
        <v>474726</v>
      </c>
      <c r="C6002">
        <v>6007690</v>
      </c>
      <c r="D6002">
        <v>21</v>
      </c>
      <c r="E6002" t="s">
        <v>15</v>
      </c>
      <c r="F6002" t="s">
        <v>13688</v>
      </c>
      <c r="G6002">
        <v>2</v>
      </c>
      <c r="H6002" t="s">
        <v>806</v>
      </c>
      <c r="I6002" t="s">
        <v>52</v>
      </c>
      <c r="J6002" t="s">
        <v>807</v>
      </c>
      <c r="K6002" t="s">
        <v>20</v>
      </c>
      <c r="L6002" t="s">
        <v>13689</v>
      </c>
      <c r="M6002" s="3" t="str">
        <f>HYPERLINK("..\..\Imagery\ScannedPhotos\1980\CG80-697.2cropped.jpg")</f>
        <v>..\..\Imagery\ScannedPhotos\1980\CG80-697.2cropped.jpg</v>
      </c>
      <c r="N6002" t="s">
        <v>4297</v>
      </c>
    </row>
    <row r="6003" spans="1:14" x14ac:dyDescent="0.25">
      <c r="A6003" t="s">
        <v>11425</v>
      </c>
      <c r="B6003">
        <v>397206</v>
      </c>
      <c r="C6003">
        <v>5993274</v>
      </c>
      <c r="D6003">
        <v>21</v>
      </c>
      <c r="E6003" t="s">
        <v>15</v>
      </c>
      <c r="F6003" t="s">
        <v>13690</v>
      </c>
      <c r="G6003">
        <v>3</v>
      </c>
      <c r="H6003" t="s">
        <v>1593</v>
      </c>
      <c r="I6003" t="s">
        <v>85</v>
      </c>
      <c r="J6003" t="s">
        <v>1594</v>
      </c>
      <c r="K6003" t="s">
        <v>56</v>
      </c>
      <c r="L6003" t="s">
        <v>6358</v>
      </c>
      <c r="M6003" s="3" t="str">
        <f>HYPERLINK("..\..\Imagery\ScannedPhotos\1980\NN80-008.2cropped.jpg")</f>
        <v>..\..\Imagery\ScannedPhotos\1980\NN80-008.2cropped.jpg</v>
      </c>
      <c r="N6003" t="s">
        <v>4297</v>
      </c>
    </row>
    <row r="6004" spans="1:14" x14ac:dyDescent="0.25">
      <c r="A6004" t="s">
        <v>13691</v>
      </c>
      <c r="B6004">
        <v>373415</v>
      </c>
      <c r="C6004">
        <v>5970059</v>
      </c>
      <c r="D6004">
        <v>21</v>
      </c>
      <c r="E6004" t="s">
        <v>15</v>
      </c>
      <c r="F6004" t="s">
        <v>13692</v>
      </c>
      <c r="G6004">
        <v>1</v>
      </c>
      <c r="H6004" t="s">
        <v>1424</v>
      </c>
      <c r="I6004" t="s">
        <v>360</v>
      </c>
      <c r="J6004" t="s">
        <v>623</v>
      </c>
      <c r="K6004" t="s">
        <v>20</v>
      </c>
      <c r="L6004" t="s">
        <v>13693</v>
      </c>
      <c r="M6004" s="3" t="str">
        <f>HYPERLINK("..\..\Imagery\ScannedPhotos\1980\NN80-136E.jpg")</f>
        <v>..\..\Imagery\ScannedPhotos\1980\NN80-136E.jpg</v>
      </c>
      <c r="N6004" t="s">
        <v>1808</v>
      </c>
    </row>
    <row r="6005" spans="1:14" x14ac:dyDescent="0.25">
      <c r="A6005" t="s">
        <v>13201</v>
      </c>
      <c r="B6005">
        <v>374348</v>
      </c>
      <c r="C6005">
        <v>5971811</v>
      </c>
      <c r="D6005">
        <v>21</v>
      </c>
      <c r="E6005" t="s">
        <v>15</v>
      </c>
      <c r="F6005" t="s">
        <v>13694</v>
      </c>
      <c r="G6005">
        <v>2</v>
      </c>
      <c r="H6005" t="s">
        <v>1424</v>
      </c>
      <c r="I6005" t="s">
        <v>30</v>
      </c>
      <c r="J6005" t="s">
        <v>623</v>
      </c>
      <c r="K6005" t="s">
        <v>20</v>
      </c>
      <c r="L6005" t="s">
        <v>13203</v>
      </c>
      <c r="M6005" s="3" t="str">
        <f>HYPERLINK("..\..\Imagery\ScannedPhotos\1980\NN80-139.1E.jpg")</f>
        <v>..\..\Imagery\ScannedPhotos\1980\NN80-139.1E.jpg</v>
      </c>
      <c r="N6005" t="s">
        <v>1808</v>
      </c>
    </row>
    <row r="6006" spans="1:14" x14ac:dyDescent="0.25">
      <c r="A6006" t="s">
        <v>4796</v>
      </c>
      <c r="B6006">
        <v>377429</v>
      </c>
      <c r="C6006">
        <v>5975553</v>
      </c>
      <c r="D6006">
        <v>21</v>
      </c>
      <c r="E6006" t="s">
        <v>15</v>
      </c>
      <c r="F6006" t="s">
        <v>13695</v>
      </c>
      <c r="G6006">
        <v>5</v>
      </c>
      <c r="H6006" t="s">
        <v>622</v>
      </c>
      <c r="I6006" t="s">
        <v>79</v>
      </c>
      <c r="J6006" t="s">
        <v>623</v>
      </c>
      <c r="K6006" t="s">
        <v>20</v>
      </c>
      <c r="L6006" t="s">
        <v>4798</v>
      </c>
      <c r="M6006" s="3" t="str">
        <f>HYPERLINK("..\..\Imagery\ScannedPhotos\1980\NN80-148.1cropped.jpg")</f>
        <v>..\..\Imagery\ScannedPhotos\1980\NN80-148.1cropped.jpg</v>
      </c>
      <c r="N6006" t="s">
        <v>4297</v>
      </c>
    </row>
    <row r="6007" spans="1:14" x14ac:dyDescent="0.25">
      <c r="A6007" t="s">
        <v>13210</v>
      </c>
      <c r="B6007">
        <v>377920</v>
      </c>
      <c r="C6007">
        <v>5978009</v>
      </c>
      <c r="D6007">
        <v>21</v>
      </c>
      <c r="E6007" t="s">
        <v>15</v>
      </c>
      <c r="F6007" t="s">
        <v>13696</v>
      </c>
      <c r="G6007">
        <v>2</v>
      </c>
      <c r="H6007" t="s">
        <v>622</v>
      </c>
      <c r="I6007" t="s">
        <v>195</v>
      </c>
      <c r="J6007" t="s">
        <v>623</v>
      </c>
      <c r="K6007" t="s">
        <v>20</v>
      </c>
      <c r="L6007" t="s">
        <v>13697</v>
      </c>
      <c r="M6007" s="3" t="str">
        <f>HYPERLINK("..\..\Imagery\ScannedPhotos\1980\NN80-162.2E.jpg")</f>
        <v>..\..\Imagery\ScannedPhotos\1980\NN80-162.2E.jpg</v>
      </c>
      <c r="N6007" t="s">
        <v>1808</v>
      </c>
    </row>
    <row r="6008" spans="1:14" x14ac:dyDescent="0.25">
      <c r="A6008" t="s">
        <v>10541</v>
      </c>
      <c r="B6008">
        <v>379474</v>
      </c>
      <c r="C6008">
        <v>5979549</v>
      </c>
      <c r="D6008">
        <v>21</v>
      </c>
      <c r="E6008" t="s">
        <v>15</v>
      </c>
      <c r="F6008" t="s">
        <v>13698</v>
      </c>
      <c r="G6008">
        <v>4</v>
      </c>
      <c r="H6008" t="s">
        <v>622</v>
      </c>
      <c r="I6008" t="s">
        <v>52</v>
      </c>
      <c r="J6008" t="s">
        <v>623</v>
      </c>
      <c r="K6008" t="s">
        <v>20</v>
      </c>
      <c r="L6008" t="s">
        <v>13699</v>
      </c>
      <c r="M6008" s="3" t="str">
        <f>HYPERLINK("..\..\Imagery\ScannedPhotos\1980\NN80-175.4E.jpg")</f>
        <v>..\..\Imagery\ScannedPhotos\1980\NN80-175.4E.jpg</v>
      </c>
      <c r="N6008" t="s">
        <v>1808</v>
      </c>
    </row>
    <row r="6009" spans="1:14" x14ac:dyDescent="0.25">
      <c r="A6009" t="s">
        <v>13700</v>
      </c>
      <c r="B6009">
        <v>374774</v>
      </c>
      <c r="C6009">
        <v>5975457</v>
      </c>
      <c r="D6009">
        <v>21</v>
      </c>
      <c r="E6009" t="s">
        <v>15</v>
      </c>
      <c r="F6009" t="s">
        <v>13701</v>
      </c>
      <c r="G6009">
        <v>1</v>
      </c>
      <c r="H6009" t="s">
        <v>1316</v>
      </c>
      <c r="I6009" t="s">
        <v>94</v>
      </c>
      <c r="J6009" t="s">
        <v>978</v>
      </c>
      <c r="K6009" t="s">
        <v>20</v>
      </c>
      <c r="L6009" t="s">
        <v>13702</v>
      </c>
      <c r="M6009" s="3" t="str">
        <f>HYPERLINK("..\..\Imagery\ScannedPhotos\1980\NN80-209E.jpg")</f>
        <v>..\..\Imagery\ScannedPhotos\1980\NN80-209E.jpg</v>
      </c>
      <c r="N6009" t="s">
        <v>1808</v>
      </c>
    </row>
    <row r="6010" spans="1:14" x14ac:dyDescent="0.25">
      <c r="A6010" t="s">
        <v>13703</v>
      </c>
      <c r="B6010">
        <v>368885</v>
      </c>
      <c r="C6010">
        <v>5976844</v>
      </c>
      <c r="D6010">
        <v>21</v>
      </c>
      <c r="E6010" t="s">
        <v>15</v>
      </c>
      <c r="F6010" t="s">
        <v>13704</v>
      </c>
      <c r="G6010">
        <v>1</v>
      </c>
      <c r="H6010" t="s">
        <v>1316</v>
      </c>
      <c r="I6010" t="s">
        <v>304</v>
      </c>
      <c r="J6010" t="s">
        <v>978</v>
      </c>
      <c r="K6010" t="s">
        <v>20</v>
      </c>
      <c r="L6010" t="s">
        <v>13705</v>
      </c>
      <c r="M6010" s="3" t="str">
        <f>HYPERLINK("..\..\Imagery\ScannedPhotos\1980\NN80-219cropped.jpg")</f>
        <v>..\..\Imagery\ScannedPhotos\1980\NN80-219cropped.jpg</v>
      </c>
      <c r="N6010" t="s">
        <v>4297</v>
      </c>
    </row>
    <row r="6011" spans="1:14" x14ac:dyDescent="0.25">
      <c r="A6011" t="s">
        <v>10829</v>
      </c>
      <c r="B6011">
        <v>387990</v>
      </c>
      <c r="C6011">
        <v>5987585</v>
      </c>
      <c r="D6011">
        <v>21</v>
      </c>
      <c r="E6011" t="s">
        <v>15</v>
      </c>
      <c r="F6011" t="s">
        <v>13706</v>
      </c>
      <c r="G6011">
        <v>6</v>
      </c>
      <c r="H6011" t="s">
        <v>806</v>
      </c>
      <c r="I6011" t="s">
        <v>85</v>
      </c>
      <c r="J6011" t="s">
        <v>807</v>
      </c>
      <c r="K6011" t="s">
        <v>20</v>
      </c>
      <c r="L6011" t="s">
        <v>10828</v>
      </c>
      <c r="M6011" s="3" t="str">
        <f>HYPERLINK("..\..\Imagery\ScannedPhotos\1980\NN80-274.4cropped.jpg")</f>
        <v>..\..\Imagery\ScannedPhotos\1980\NN80-274.4cropped.jpg</v>
      </c>
      <c r="N6011" t="s">
        <v>4297</v>
      </c>
    </row>
    <row r="6012" spans="1:14" x14ac:dyDescent="0.25">
      <c r="A6012" t="s">
        <v>5851</v>
      </c>
      <c r="B6012">
        <v>411759</v>
      </c>
      <c r="C6012">
        <v>6006890</v>
      </c>
      <c r="D6012">
        <v>21</v>
      </c>
      <c r="E6012" t="s">
        <v>15</v>
      </c>
      <c r="F6012" t="s">
        <v>13707</v>
      </c>
      <c r="G6012">
        <v>2</v>
      </c>
      <c r="H6012" t="s">
        <v>900</v>
      </c>
      <c r="I6012" t="s">
        <v>41</v>
      </c>
      <c r="J6012" t="s">
        <v>652</v>
      </c>
      <c r="K6012" t="s">
        <v>20</v>
      </c>
      <c r="L6012" t="s">
        <v>13708</v>
      </c>
      <c r="M6012" s="3" t="str">
        <f>HYPERLINK("..\..\Imagery\ScannedPhotos\1980\RG80-011.1cropped.jpg")</f>
        <v>..\..\Imagery\ScannedPhotos\1980\RG80-011.1cropped.jpg</v>
      </c>
      <c r="N6012" t="s">
        <v>4297</v>
      </c>
    </row>
    <row r="6013" spans="1:14" x14ac:dyDescent="0.25">
      <c r="A6013" t="s">
        <v>6611</v>
      </c>
      <c r="B6013">
        <v>409324</v>
      </c>
      <c r="C6013">
        <v>6004812</v>
      </c>
      <c r="D6013">
        <v>21</v>
      </c>
      <c r="E6013" t="s">
        <v>15</v>
      </c>
      <c r="F6013" t="s">
        <v>13709</v>
      </c>
      <c r="G6013">
        <v>4</v>
      </c>
      <c r="H6013" t="s">
        <v>1171</v>
      </c>
      <c r="I6013" t="s">
        <v>195</v>
      </c>
      <c r="J6013" t="s">
        <v>563</v>
      </c>
      <c r="K6013" t="s">
        <v>228</v>
      </c>
      <c r="L6013" t="s">
        <v>13710</v>
      </c>
      <c r="M6013" s="3" t="str">
        <f>HYPERLINK("..\..\Imagery\ScannedPhotos\1980\RG80-038.4E.jpg")</f>
        <v>..\..\Imagery\ScannedPhotos\1980\RG80-038.4E.jpg</v>
      </c>
      <c r="N6013" t="s">
        <v>1808</v>
      </c>
    </row>
    <row r="6014" spans="1:14" x14ac:dyDescent="0.25">
      <c r="A6014" t="s">
        <v>11403</v>
      </c>
      <c r="B6014">
        <v>424869</v>
      </c>
      <c r="C6014">
        <v>6010016</v>
      </c>
      <c r="D6014">
        <v>21</v>
      </c>
      <c r="E6014" t="s">
        <v>15</v>
      </c>
      <c r="F6014" t="s">
        <v>13711</v>
      </c>
      <c r="G6014">
        <v>2</v>
      </c>
      <c r="H6014" t="s">
        <v>758</v>
      </c>
      <c r="I6014" t="s">
        <v>85</v>
      </c>
      <c r="J6014" t="s">
        <v>759</v>
      </c>
      <c r="K6014" t="s">
        <v>20</v>
      </c>
      <c r="L6014" t="s">
        <v>13712</v>
      </c>
      <c r="M6014" s="3" t="str">
        <f>HYPERLINK("..\..\Imagery\ScannedPhotos\1980\RG80-052.2cropped.jpg")</f>
        <v>..\..\Imagery\ScannedPhotos\1980\RG80-052.2cropped.jpg</v>
      </c>
      <c r="N6014" t="s">
        <v>4297</v>
      </c>
    </row>
    <row r="6015" spans="1:14" x14ac:dyDescent="0.25">
      <c r="A6015" t="s">
        <v>2965</v>
      </c>
      <c r="B6015">
        <v>420885</v>
      </c>
      <c r="C6015">
        <v>6009187</v>
      </c>
      <c r="D6015">
        <v>21</v>
      </c>
      <c r="E6015" t="s">
        <v>15</v>
      </c>
      <c r="F6015" t="s">
        <v>13713</v>
      </c>
      <c r="G6015">
        <v>5</v>
      </c>
      <c r="H6015" t="s">
        <v>2967</v>
      </c>
      <c r="I6015" t="s">
        <v>214</v>
      </c>
      <c r="J6015" t="s">
        <v>2968</v>
      </c>
      <c r="K6015" t="s">
        <v>20</v>
      </c>
      <c r="L6015" t="s">
        <v>9020</v>
      </c>
      <c r="M6015" s="3" t="str">
        <f>HYPERLINK("..\..\Imagery\ScannedPhotos\1980\RG80-104.1cropped.jpg")</f>
        <v>..\..\Imagery\ScannedPhotos\1980\RG80-104.1cropped.jpg</v>
      </c>
      <c r="N6015" t="s">
        <v>4297</v>
      </c>
    </row>
    <row r="6016" spans="1:14" x14ac:dyDescent="0.25">
      <c r="A6016" t="s">
        <v>13714</v>
      </c>
      <c r="B6016">
        <v>443550</v>
      </c>
      <c r="C6016">
        <v>5994383</v>
      </c>
      <c r="D6016">
        <v>21</v>
      </c>
      <c r="E6016" t="s">
        <v>15</v>
      </c>
      <c r="F6016" t="s">
        <v>13715</v>
      </c>
      <c r="G6016">
        <v>1</v>
      </c>
      <c r="H6016" t="s">
        <v>2967</v>
      </c>
      <c r="I6016" t="s">
        <v>65</v>
      </c>
      <c r="J6016" t="s">
        <v>2968</v>
      </c>
      <c r="K6016" t="s">
        <v>20</v>
      </c>
      <c r="L6016" t="s">
        <v>13716</v>
      </c>
      <c r="M6016" s="3" t="str">
        <f>HYPERLINK("..\..\Imagery\ScannedPhotos\1980\RG80-132E.jpg")</f>
        <v>..\..\Imagery\ScannedPhotos\1980\RG80-132E.jpg</v>
      </c>
      <c r="N6016" t="s">
        <v>1808</v>
      </c>
    </row>
    <row r="6017" spans="1:14" x14ac:dyDescent="0.25">
      <c r="A6017" t="s">
        <v>970</v>
      </c>
      <c r="B6017">
        <v>442431</v>
      </c>
      <c r="C6017">
        <v>5995299</v>
      </c>
      <c r="D6017">
        <v>21</v>
      </c>
      <c r="E6017" t="s">
        <v>15</v>
      </c>
      <c r="F6017" t="s">
        <v>13717</v>
      </c>
      <c r="G6017">
        <v>13</v>
      </c>
      <c r="H6017" t="s">
        <v>60</v>
      </c>
      <c r="I6017" t="s">
        <v>386</v>
      </c>
      <c r="J6017" t="s">
        <v>61</v>
      </c>
      <c r="K6017" t="s">
        <v>20</v>
      </c>
      <c r="L6017" t="s">
        <v>973</v>
      </c>
      <c r="M6017" s="3" t="str">
        <f>HYPERLINK("..\..\Imagery\ScannedPhotos\1980\RG80-133.13cropped.jpg")</f>
        <v>..\..\Imagery\ScannedPhotos\1980\RG80-133.13cropped.jpg</v>
      </c>
      <c r="N6017" t="s">
        <v>4297</v>
      </c>
    </row>
    <row r="6018" spans="1:14" x14ac:dyDescent="0.25">
      <c r="A6018" t="s">
        <v>441</v>
      </c>
      <c r="B6018">
        <v>483170</v>
      </c>
      <c r="C6018">
        <v>5948871</v>
      </c>
      <c r="D6018">
        <v>21</v>
      </c>
      <c r="E6018" t="s">
        <v>15</v>
      </c>
      <c r="F6018" t="s">
        <v>13718</v>
      </c>
      <c r="G6018">
        <v>6</v>
      </c>
      <c r="H6018" t="s">
        <v>443</v>
      </c>
      <c r="I6018" t="s">
        <v>418</v>
      </c>
      <c r="J6018" t="s">
        <v>48</v>
      </c>
      <c r="K6018" t="s">
        <v>20</v>
      </c>
      <c r="L6018" t="s">
        <v>13719</v>
      </c>
      <c r="M6018" s="3" t="str">
        <f>HYPERLINK("..\..\Imagery\ScannedPhotos\1981\CG81-081.3cropped.jpg")</f>
        <v>..\..\Imagery\ScannedPhotos\1981\CG81-081.3cropped.jpg</v>
      </c>
      <c r="N6018" t="s">
        <v>4297</v>
      </c>
    </row>
    <row r="6019" spans="1:14" x14ac:dyDescent="0.25">
      <c r="A6019" t="s">
        <v>8504</v>
      </c>
      <c r="B6019">
        <v>402195</v>
      </c>
      <c r="C6019">
        <v>6073796</v>
      </c>
      <c r="D6019">
        <v>21</v>
      </c>
      <c r="E6019" t="s">
        <v>15</v>
      </c>
      <c r="F6019" t="s">
        <v>13720</v>
      </c>
      <c r="G6019">
        <v>3</v>
      </c>
      <c r="H6019" t="s">
        <v>1872</v>
      </c>
      <c r="I6019" t="s">
        <v>217</v>
      </c>
      <c r="J6019" t="s">
        <v>1873</v>
      </c>
      <c r="K6019" t="s">
        <v>20</v>
      </c>
      <c r="L6019" t="s">
        <v>13721</v>
      </c>
      <c r="M6019" s="3" t="str">
        <f>HYPERLINK("..\..\Imagery\ScannedPhotos\1979\CG79-005.3cropped.jpg")</f>
        <v>..\..\Imagery\ScannedPhotos\1979\CG79-005.3cropped.jpg</v>
      </c>
      <c r="N6019" t="s">
        <v>4297</v>
      </c>
    </row>
    <row r="6020" spans="1:14" x14ac:dyDescent="0.25">
      <c r="A6020" t="s">
        <v>1870</v>
      </c>
      <c r="B6020">
        <v>398255</v>
      </c>
      <c r="C6020">
        <v>6073296</v>
      </c>
      <c r="D6020">
        <v>21</v>
      </c>
      <c r="E6020" t="s">
        <v>15</v>
      </c>
      <c r="F6020" t="s">
        <v>13722</v>
      </c>
      <c r="G6020">
        <v>8</v>
      </c>
      <c r="H6020" t="s">
        <v>1872</v>
      </c>
      <c r="I6020" t="s">
        <v>25</v>
      </c>
      <c r="J6020" t="s">
        <v>1873</v>
      </c>
      <c r="K6020" t="s">
        <v>20</v>
      </c>
      <c r="L6020" t="s">
        <v>13723</v>
      </c>
      <c r="M6020" s="3" t="str">
        <f>HYPERLINK("..\..\Imagery\ScannedPhotos\1979\CG79-018.1cropped.jpg")</f>
        <v>..\..\Imagery\ScannedPhotos\1979\CG79-018.1cropped.jpg</v>
      </c>
      <c r="N6020" t="s">
        <v>4297</v>
      </c>
    </row>
    <row r="6021" spans="1:14" x14ac:dyDescent="0.25">
      <c r="A6021" t="s">
        <v>1870</v>
      </c>
      <c r="B6021">
        <v>398255</v>
      </c>
      <c r="C6021">
        <v>6073296</v>
      </c>
      <c r="D6021">
        <v>21</v>
      </c>
      <c r="E6021" t="s">
        <v>15</v>
      </c>
      <c r="F6021" t="s">
        <v>13724</v>
      </c>
      <c r="G6021">
        <v>8</v>
      </c>
      <c r="H6021" t="s">
        <v>1872</v>
      </c>
      <c r="I6021" t="s">
        <v>360</v>
      </c>
      <c r="J6021" t="s">
        <v>1873</v>
      </c>
      <c r="K6021" t="s">
        <v>20</v>
      </c>
      <c r="L6021" t="s">
        <v>13725</v>
      </c>
      <c r="M6021" s="3" t="str">
        <f>HYPERLINK("..\..\Imagery\ScannedPhotos\1979\CG79-018.2cropped.jpg")</f>
        <v>..\..\Imagery\ScannedPhotos\1979\CG79-018.2cropped.jpg</v>
      </c>
      <c r="N6021" t="s">
        <v>4297</v>
      </c>
    </row>
    <row r="6022" spans="1:14" x14ac:dyDescent="0.25">
      <c r="A6022" t="s">
        <v>13726</v>
      </c>
      <c r="B6022">
        <v>391288</v>
      </c>
      <c r="C6022">
        <v>6078003</v>
      </c>
      <c r="D6022">
        <v>21</v>
      </c>
      <c r="E6022" t="s">
        <v>15</v>
      </c>
      <c r="F6022" t="s">
        <v>13727</v>
      </c>
      <c r="G6022">
        <v>1</v>
      </c>
      <c r="H6022" t="s">
        <v>1872</v>
      </c>
      <c r="I6022" t="s">
        <v>143</v>
      </c>
      <c r="J6022" t="s">
        <v>1873</v>
      </c>
      <c r="K6022" t="s">
        <v>56</v>
      </c>
      <c r="L6022" t="s">
        <v>13728</v>
      </c>
      <c r="M6022" s="3" t="str">
        <f>HYPERLINK("..\..\Imagery\ScannedPhotos\1979\CG79-037cropped.jpg")</f>
        <v>..\..\Imagery\ScannedPhotos\1979\CG79-037cropped.jpg</v>
      </c>
      <c r="N6022" t="s">
        <v>4297</v>
      </c>
    </row>
    <row r="6023" spans="1:14" x14ac:dyDescent="0.25">
      <c r="A6023" t="s">
        <v>3284</v>
      </c>
      <c r="B6023">
        <v>391692</v>
      </c>
      <c r="C6023">
        <v>6080050</v>
      </c>
      <c r="D6023">
        <v>21</v>
      </c>
      <c r="E6023" t="s">
        <v>15</v>
      </c>
      <c r="F6023" t="s">
        <v>13729</v>
      </c>
      <c r="G6023">
        <v>3</v>
      </c>
      <c r="H6023" t="s">
        <v>1207</v>
      </c>
      <c r="I6023" t="s">
        <v>79</v>
      </c>
      <c r="J6023" t="s">
        <v>1208</v>
      </c>
      <c r="K6023" t="s">
        <v>56</v>
      </c>
      <c r="L6023" t="s">
        <v>8089</v>
      </c>
      <c r="M6023" s="3" t="str">
        <f>HYPERLINK("..\..\Imagery\ScannedPhotos\1979\CG79-048.3cropped.jpg")</f>
        <v>..\..\Imagery\ScannedPhotos\1979\CG79-048.3cropped.jpg</v>
      </c>
      <c r="N6023" t="s">
        <v>4297</v>
      </c>
    </row>
    <row r="6024" spans="1:14" x14ac:dyDescent="0.25">
      <c r="A6024" t="s">
        <v>8090</v>
      </c>
      <c r="B6024">
        <v>394145</v>
      </c>
      <c r="C6024">
        <v>6080955</v>
      </c>
      <c r="D6024">
        <v>21</v>
      </c>
      <c r="E6024" t="s">
        <v>15</v>
      </c>
      <c r="F6024" t="s">
        <v>13730</v>
      </c>
      <c r="G6024">
        <v>2</v>
      </c>
      <c r="H6024" t="s">
        <v>1207</v>
      </c>
      <c r="I6024" t="s">
        <v>137</v>
      </c>
      <c r="J6024" t="s">
        <v>1208</v>
      </c>
      <c r="K6024" t="s">
        <v>20</v>
      </c>
      <c r="L6024" t="s">
        <v>13731</v>
      </c>
      <c r="M6024" s="3" t="str">
        <f>HYPERLINK("..\..\Imagery\ScannedPhotos\1979\CG79-050.2cropped.jpg")</f>
        <v>..\..\Imagery\ScannedPhotos\1979\CG79-050.2cropped.jpg</v>
      </c>
      <c r="N6024" t="s">
        <v>4297</v>
      </c>
    </row>
    <row r="6025" spans="1:14" x14ac:dyDescent="0.25">
      <c r="A6025" t="s">
        <v>8093</v>
      </c>
      <c r="B6025">
        <v>402340</v>
      </c>
      <c r="C6025">
        <v>6080820</v>
      </c>
      <c r="D6025">
        <v>21</v>
      </c>
      <c r="E6025" t="s">
        <v>15</v>
      </c>
      <c r="F6025" t="s">
        <v>13732</v>
      </c>
      <c r="G6025">
        <v>2</v>
      </c>
      <c r="H6025" t="s">
        <v>1207</v>
      </c>
      <c r="I6025" t="s">
        <v>69</v>
      </c>
      <c r="J6025" t="s">
        <v>1208</v>
      </c>
      <c r="K6025" t="s">
        <v>20</v>
      </c>
      <c r="L6025" t="s">
        <v>3364</v>
      </c>
      <c r="M6025" s="3" t="str">
        <f>HYPERLINK("..\..\Imagery\ScannedPhotos\1979\CG79-054.2cropped.jpg")</f>
        <v>..\..\Imagery\ScannedPhotos\1979\CG79-054.2cropped.jpg</v>
      </c>
      <c r="N6025" t="s">
        <v>4297</v>
      </c>
    </row>
    <row r="6026" spans="1:14" x14ac:dyDescent="0.25">
      <c r="A6026" t="s">
        <v>82</v>
      </c>
      <c r="B6026">
        <v>313335</v>
      </c>
      <c r="C6026">
        <v>6006784</v>
      </c>
      <c r="D6026">
        <v>21</v>
      </c>
      <c r="E6026" t="s">
        <v>15</v>
      </c>
      <c r="F6026" t="s">
        <v>13733</v>
      </c>
      <c r="G6026">
        <v>3</v>
      </c>
      <c r="H6026" t="s">
        <v>84</v>
      </c>
      <c r="I6026" t="s">
        <v>375</v>
      </c>
      <c r="J6026" t="s">
        <v>86</v>
      </c>
      <c r="K6026" t="s">
        <v>56</v>
      </c>
      <c r="L6026" t="s">
        <v>87</v>
      </c>
      <c r="M6026" s="3" t="str">
        <f>HYPERLINK("..\..\Imagery\ScannedPhotos\1983\CG83-305.3cropped.jpg")</f>
        <v>..\..\Imagery\ScannedPhotos\1983\CG83-305.3cropped.jpg</v>
      </c>
      <c r="N6026" t="s">
        <v>4297</v>
      </c>
    </row>
    <row r="6027" spans="1:14" x14ac:dyDescent="0.25">
      <c r="A6027" t="s">
        <v>2751</v>
      </c>
      <c r="B6027">
        <v>329164</v>
      </c>
      <c r="C6027">
        <v>6010909</v>
      </c>
      <c r="D6027">
        <v>21</v>
      </c>
      <c r="E6027" t="s">
        <v>15</v>
      </c>
      <c r="F6027" t="s">
        <v>13734</v>
      </c>
      <c r="G6027">
        <v>5</v>
      </c>
      <c r="H6027" t="s">
        <v>2431</v>
      </c>
      <c r="I6027" t="s">
        <v>65</v>
      </c>
      <c r="J6027" t="s">
        <v>269</v>
      </c>
      <c r="K6027" t="s">
        <v>56</v>
      </c>
      <c r="L6027" t="s">
        <v>2753</v>
      </c>
      <c r="M6027" s="3" t="str">
        <f>HYPERLINK("..\..\Imagery\ScannedPhotos\1983\CG83-328.4cropped.jpg")</f>
        <v>..\..\Imagery\ScannedPhotos\1983\CG83-328.4cropped.jpg</v>
      </c>
      <c r="N6027" t="s">
        <v>4297</v>
      </c>
    </row>
    <row r="6028" spans="1:14" x14ac:dyDescent="0.25">
      <c r="A6028" t="s">
        <v>10535</v>
      </c>
      <c r="B6028">
        <v>329775</v>
      </c>
      <c r="C6028">
        <v>6011118</v>
      </c>
      <c r="D6028">
        <v>21</v>
      </c>
      <c r="E6028" t="s">
        <v>15</v>
      </c>
      <c r="F6028" t="s">
        <v>13735</v>
      </c>
      <c r="G6028">
        <v>2</v>
      </c>
      <c r="H6028" t="s">
        <v>268</v>
      </c>
      <c r="I6028" t="s">
        <v>69</v>
      </c>
      <c r="J6028" t="s">
        <v>269</v>
      </c>
      <c r="K6028" t="s">
        <v>228</v>
      </c>
      <c r="L6028" t="s">
        <v>10537</v>
      </c>
      <c r="M6028" s="3" t="str">
        <f>HYPERLINK("..\..\Imagery\ScannedPhotos\1983\CG83-376.1E.jpg")</f>
        <v>..\..\Imagery\ScannedPhotos\1983\CG83-376.1E.jpg</v>
      </c>
      <c r="N6028" t="s">
        <v>1808</v>
      </c>
    </row>
    <row r="6029" spans="1:14" x14ac:dyDescent="0.25">
      <c r="A6029" t="s">
        <v>10538</v>
      </c>
      <c r="B6029">
        <v>326363</v>
      </c>
      <c r="C6029">
        <v>5997300</v>
      </c>
      <c r="D6029">
        <v>21</v>
      </c>
      <c r="E6029" t="s">
        <v>15</v>
      </c>
      <c r="F6029" t="s">
        <v>13736</v>
      </c>
      <c r="G6029">
        <v>3</v>
      </c>
      <c r="H6029" t="s">
        <v>268</v>
      </c>
      <c r="I6029" t="s">
        <v>375</v>
      </c>
      <c r="J6029" t="s">
        <v>269</v>
      </c>
      <c r="K6029" t="s">
        <v>20</v>
      </c>
      <c r="L6029" t="s">
        <v>10540</v>
      </c>
      <c r="M6029" s="3" t="str">
        <f>HYPERLINK("..\..\Imagery\ScannedPhotos\1983\CG83-411.3cropped.jpg")</f>
        <v>..\..\Imagery\ScannedPhotos\1983\CG83-411.3cropped.jpg</v>
      </c>
      <c r="N6029" t="s">
        <v>4297</v>
      </c>
    </row>
    <row r="6030" spans="1:14" x14ac:dyDescent="0.25">
      <c r="A6030" t="s">
        <v>13737</v>
      </c>
      <c r="B6030">
        <v>412948</v>
      </c>
      <c r="C6030">
        <v>5971531</v>
      </c>
      <c r="D6030">
        <v>21</v>
      </c>
      <c r="E6030" t="s">
        <v>15</v>
      </c>
      <c r="F6030" t="s">
        <v>13738</v>
      </c>
      <c r="G6030">
        <v>1</v>
      </c>
      <c r="H6030" t="s">
        <v>268</v>
      </c>
      <c r="I6030" t="s">
        <v>108</v>
      </c>
      <c r="J6030" t="s">
        <v>269</v>
      </c>
      <c r="K6030" t="s">
        <v>228</v>
      </c>
      <c r="L6030" t="s">
        <v>13739</v>
      </c>
      <c r="M6030" s="3" t="str">
        <f>HYPERLINK("..\..\Imagery\ScannedPhotos\1983\CG83-551E.jpg")</f>
        <v>..\..\Imagery\ScannedPhotos\1983\CG83-551E.jpg</v>
      </c>
      <c r="N6030" t="s">
        <v>1808</v>
      </c>
    </row>
    <row r="6031" spans="1:14" x14ac:dyDescent="0.25">
      <c r="A6031" t="s">
        <v>13244</v>
      </c>
      <c r="B6031">
        <v>379094</v>
      </c>
      <c r="C6031">
        <v>5982569</v>
      </c>
      <c r="D6031">
        <v>21</v>
      </c>
      <c r="E6031" t="s">
        <v>15</v>
      </c>
      <c r="F6031" t="s">
        <v>13740</v>
      </c>
      <c r="G6031">
        <v>3</v>
      </c>
      <c r="H6031" t="s">
        <v>201</v>
      </c>
      <c r="I6031" t="s">
        <v>65</v>
      </c>
      <c r="J6031" t="s">
        <v>202</v>
      </c>
      <c r="K6031" t="s">
        <v>20</v>
      </c>
      <c r="L6031" t="s">
        <v>2525</v>
      </c>
      <c r="M6031" s="3" t="str">
        <f>HYPERLINK("..\..\Imagery\ScannedPhotos\1983\CG83-554.1cropped.jpg")</f>
        <v>..\..\Imagery\ScannedPhotos\1983\CG83-554.1cropped.jpg</v>
      </c>
      <c r="N6031" t="s">
        <v>4297</v>
      </c>
    </row>
    <row r="6032" spans="1:14" x14ac:dyDescent="0.25">
      <c r="A6032" t="s">
        <v>13244</v>
      </c>
      <c r="B6032">
        <v>379094</v>
      </c>
      <c r="C6032">
        <v>5982569</v>
      </c>
      <c r="D6032">
        <v>21</v>
      </c>
      <c r="E6032" t="s">
        <v>15</v>
      </c>
      <c r="F6032" t="s">
        <v>13741</v>
      </c>
      <c r="G6032">
        <v>3</v>
      </c>
      <c r="H6032" t="s">
        <v>201</v>
      </c>
      <c r="I6032" t="s">
        <v>401</v>
      </c>
      <c r="J6032" t="s">
        <v>202</v>
      </c>
      <c r="K6032" t="s">
        <v>20</v>
      </c>
      <c r="L6032" t="s">
        <v>13246</v>
      </c>
      <c r="M6032" s="3" t="str">
        <f>HYPERLINK("..\..\Imagery\ScannedPhotos\1983\CG83-554.2cropped.jpg")</f>
        <v>..\..\Imagery\ScannedPhotos\1983\CG83-554.2cropped.jpg</v>
      </c>
      <c r="N6032" t="s">
        <v>4297</v>
      </c>
    </row>
    <row r="6033" spans="1:14" x14ac:dyDescent="0.25">
      <c r="A6033" t="s">
        <v>274</v>
      </c>
      <c r="B6033">
        <v>297792</v>
      </c>
      <c r="C6033">
        <v>6034980</v>
      </c>
      <c r="D6033">
        <v>21</v>
      </c>
      <c r="E6033" t="s">
        <v>15</v>
      </c>
      <c r="F6033" t="s">
        <v>13742</v>
      </c>
      <c r="G6033">
        <v>2</v>
      </c>
      <c r="H6033" t="s">
        <v>268</v>
      </c>
      <c r="I6033" t="s">
        <v>52</v>
      </c>
      <c r="J6033" t="s">
        <v>269</v>
      </c>
      <c r="K6033" t="s">
        <v>20</v>
      </c>
      <c r="L6033" t="s">
        <v>276</v>
      </c>
      <c r="M6033" s="3" t="str">
        <f>HYPERLINK("..\..\Imagery\ScannedPhotos\1983\CG83-590.1cropped.jpg")</f>
        <v>..\..\Imagery\ScannedPhotos\1983\CG83-590.1cropped.jpg</v>
      </c>
      <c r="N6033" t="s">
        <v>13743</v>
      </c>
    </row>
    <row r="6034" spans="1:14" x14ac:dyDescent="0.25">
      <c r="A6034" t="s">
        <v>13744</v>
      </c>
      <c r="B6034">
        <v>460387</v>
      </c>
      <c r="C6034">
        <v>5915759</v>
      </c>
      <c r="D6034">
        <v>21</v>
      </c>
      <c r="E6034" t="s">
        <v>15</v>
      </c>
      <c r="F6034" t="s">
        <v>13745</v>
      </c>
      <c r="G6034">
        <v>1</v>
      </c>
      <c r="H6034" t="s">
        <v>1409</v>
      </c>
      <c r="I6034" t="s">
        <v>35</v>
      </c>
      <c r="J6034" t="s">
        <v>1410</v>
      </c>
      <c r="K6034" t="s">
        <v>56</v>
      </c>
      <c r="L6034" t="s">
        <v>462</v>
      </c>
      <c r="M6034" s="3" t="str">
        <f>HYPERLINK("..\..\Imagery\ScannedPhotos\1984\CG84-053cropped.jpg")</f>
        <v>..\..\Imagery\ScannedPhotos\1984\CG84-053cropped.jpg</v>
      </c>
      <c r="N6034" t="s">
        <v>4297</v>
      </c>
    </row>
    <row r="6035" spans="1:14" x14ac:dyDescent="0.25">
      <c r="A6035" t="s">
        <v>7037</v>
      </c>
      <c r="B6035">
        <v>451143</v>
      </c>
      <c r="C6035">
        <v>5918393</v>
      </c>
      <c r="D6035">
        <v>21</v>
      </c>
      <c r="E6035" t="s">
        <v>15</v>
      </c>
      <c r="F6035" t="s">
        <v>13746</v>
      </c>
      <c r="G6035">
        <v>4</v>
      </c>
      <c r="H6035" t="s">
        <v>2895</v>
      </c>
      <c r="I6035" t="s">
        <v>418</v>
      </c>
      <c r="J6035" t="s">
        <v>2896</v>
      </c>
      <c r="K6035" t="s">
        <v>228</v>
      </c>
      <c r="L6035" t="s">
        <v>13747</v>
      </c>
      <c r="M6035" s="3" t="str">
        <f>HYPERLINK("..\..\Imagery\ScannedPhotos\1984\CG84-136.3E.jpg")</f>
        <v>..\..\Imagery\ScannedPhotos\1984\CG84-136.3E.jpg</v>
      </c>
      <c r="N6035" t="s">
        <v>1808</v>
      </c>
    </row>
    <row r="6036" spans="1:14" x14ac:dyDescent="0.25">
      <c r="A6036" t="s">
        <v>6099</v>
      </c>
      <c r="B6036">
        <v>468343</v>
      </c>
      <c r="C6036">
        <v>5910377</v>
      </c>
      <c r="D6036">
        <v>21</v>
      </c>
      <c r="E6036" t="s">
        <v>15</v>
      </c>
      <c r="F6036" t="s">
        <v>13748</v>
      </c>
      <c r="G6036">
        <v>6</v>
      </c>
      <c r="H6036" t="s">
        <v>3982</v>
      </c>
      <c r="I6036" t="s">
        <v>418</v>
      </c>
      <c r="J6036" t="s">
        <v>2247</v>
      </c>
      <c r="K6036" t="s">
        <v>20</v>
      </c>
      <c r="L6036" t="s">
        <v>9898</v>
      </c>
      <c r="M6036" s="3" t="str">
        <f>HYPERLINK("..\..\Imagery\ScannedPhotos\1984\CG84-147.5cropped.jpg")</f>
        <v>..\..\Imagery\ScannedPhotos\1984\CG84-147.5cropped.jpg</v>
      </c>
      <c r="N6036" t="s">
        <v>4297</v>
      </c>
    </row>
    <row r="6037" spans="1:14" x14ac:dyDescent="0.25">
      <c r="A6037" t="s">
        <v>2282</v>
      </c>
      <c r="B6037">
        <v>504835</v>
      </c>
      <c r="C6037">
        <v>5970254</v>
      </c>
      <c r="D6037">
        <v>21</v>
      </c>
      <c r="E6037" t="s">
        <v>15</v>
      </c>
      <c r="F6037" t="s">
        <v>13749</v>
      </c>
      <c r="G6037">
        <v>20</v>
      </c>
      <c r="I6037" t="s">
        <v>119</v>
      </c>
      <c r="J6037" t="s">
        <v>48</v>
      </c>
      <c r="K6037" t="s">
        <v>20</v>
      </c>
      <c r="L6037" t="s">
        <v>5646</v>
      </c>
      <c r="M6037" s="3" t="str">
        <f>HYPERLINK("..\..\Imagery\ScannedPhotos\1984\CG84-172.1cropped.jpg")</f>
        <v>..\..\Imagery\ScannedPhotos\1984\CG84-172.1cropped.jpg</v>
      </c>
      <c r="N6037" t="s">
        <v>4297</v>
      </c>
    </row>
    <row r="6038" spans="1:14" x14ac:dyDescent="0.25">
      <c r="A6038" t="s">
        <v>2282</v>
      </c>
      <c r="B6038">
        <v>504835</v>
      </c>
      <c r="C6038">
        <v>5970254</v>
      </c>
      <c r="D6038">
        <v>21</v>
      </c>
      <c r="E6038" t="s">
        <v>15</v>
      </c>
      <c r="F6038" t="s">
        <v>13750</v>
      </c>
      <c r="G6038">
        <v>20</v>
      </c>
      <c r="H6038" t="s">
        <v>1333</v>
      </c>
      <c r="I6038" t="s">
        <v>126</v>
      </c>
      <c r="J6038" t="s">
        <v>1334</v>
      </c>
      <c r="K6038" t="s">
        <v>20</v>
      </c>
      <c r="L6038" t="s">
        <v>3603</v>
      </c>
      <c r="M6038" s="3" t="str">
        <f>HYPERLINK("..\..\Imagery\ScannedPhotos\1984\CG84-172.2cropped.jpg")</f>
        <v>..\..\Imagery\ScannedPhotos\1984\CG84-172.2cropped.jpg</v>
      </c>
      <c r="N6038" t="s">
        <v>4297</v>
      </c>
    </row>
    <row r="6039" spans="1:14" x14ac:dyDescent="0.25">
      <c r="A6039" t="s">
        <v>2282</v>
      </c>
      <c r="B6039">
        <v>504835</v>
      </c>
      <c r="C6039">
        <v>5970254</v>
      </c>
      <c r="D6039">
        <v>21</v>
      </c>
      <c r="E6039" t="s">
        <v>15</v>
      </c>
      <c r="F6039" t="s">
        <v>13751</v>
      </c>
      <c r="G6039">
        <v>20</v>
      </c>
      <c r="H6039" t="s">
        <v>1333</v>
      </c>
      <c r="I6039" t="s">
        <v>129</v>
      </c>
      <c r="J6039" t="s">
        <v>1334</v>
      </c>
      <c r="K6039" t="s">
        <v>20</v>
      </c>
      <c r="L6039" t="s">
        <v>13752</v>
      </c>
      <c r="M6039" s="3" t="str">
        <f>HYPERLINK("..\..\Imagery\ScannedPhotos\1984\CG84-172.5cropped.jpg")</f>
        <v>..\..\Imagery\ScannedPhotos\1984\CG84-172.5cropped.jpg</v>
      </c>
      <c r="N6039" t="s">
        <v>4297</v>
      </c>
    </row>
    <row r="6040" spans="1:14" x14ac:dyDescent="0.25">
      <c r="A6040" t="s">
        <v>2282</v>
      </c>
      <c r="B6040">
        <v>504835</v>
      </c>
      <c r="C6040">
        <v>5970254</v>
      </c>
      <c r="D6040">
        <v>21</v>
      </c>
      <c r="E6040" t="s">
        <v>15</v>
      </c>
      <c r="F6040" t="s">
        <v>13753</v>
      </c>
      <c r="G6040">
        <v>20</v>
      </c>
      <c r="H6040" t="s">
        <v>2284</v>
      </c>
      <c r="I6040" t="s">
        <v>360</v>
      </c>
      <c r="J6040" t="s">
        <v>3136</v>
      </c>
      <c r="K6040" t="s">
        <v>20</v>
      </c>
      <c r="L6040" t="s">
        <v>3601</v>
      </c>
      <c r="M6040" s="3" t="str">
        <f>HYPERLINK("..\..\Imagery\ScannedPhotos\1984\CG84-172.14cropped.jpg")</f>
        <v>..\..\Imagery\ScannedPhotos\1984\CG84-172.14cropped.jpg</v>
      </c>
      <c r="N6040" t="s">
        <v>4297</v>
      </c>
    </row>
    <row r="6041" spans="1:14" x14ac:dyDescent="0.25">
      <c r="A6041" t="s">
        <v>2282</v>
      </c>
      <c r="B6041">
        <v>504835</v>
      </c>
      <c r="C6041">
        <v>5970254</v>
      </c>
      <c r="D6041">
        <v>21</v>
      </c>
      <c r="E6041" t="s">
        <v>15</v>
      </c>
      <c r="F6041" t="s">
        <v>13754</v>
      </c>
      <c r="G6041">
        <v>20</v>
      </c>
      <c r="H6041" t="s">
        <v>2084</v>
      </c>
      <c r="I6041" t="s">
        <v>132</v>
      </c>
      <c r="J6041" t="s">
        <v>1014</v>
      </c>
      <c r="K6041" t="s">
        <v>20</v>
      </c>
      <c r="L6041" t="s">
        <v>13755</v>
      </c>
      <c r="M6041" s="3" t="str">
        <f>HYPERLINK("..\..\Imagery\ScannedPhotos\1984\CG84-172.20E.jpg")</f>
        <v>..\..\Imagery\ScannedPhotos\1984\CG84-172.20E.jpg</v>
      </c>
      <c r="N6041" t="s">
        <v>1808</v>
      </c>
    </row>
    <row r="6042" spans="1:14" x14ac:dyDescent="0.25">
      <c r="A6042" t="s">
        <v>13756</v>
      </c>
      <c r="B6042">
        <v>574100</v>
      </c>
      <c r="C6042">
        <v>5856700</v>
      </c>
      <c r="D6042">
        <v>21</v>
      </c>
      <c r="E6042" t="s">
        <v>15</v>
      </c>
      <c r="F6042" t="s">
        <v>13757</v>
      </c>
      <c r="G6042">
        <v>1</v>
      </c>
      <c r="H6042" t="s">
        <v>60</v>
      </c>
      <c r="I6042" t="s">
        <v>94</v>
      </c>
      <c r="J6042" t="s">
        <v>61</v>
      </c>
      <c r="K6042" t="s">
        <v>20</v>
      </c>
      <c r="L6042" t="s">
        <v>13758</v>
      </c>
      <c r="M6042" s="3" t="str">
        <f>HYPERLINK("..\..\Imagery\ScannedPhotos\1984\CG84-190cropped.jpg")</f>
        <v>..\..\Imagery\ScannedPhotos\1984\CG84-190cropped.jpg</v>
      </c>
      <c r="N6042" t="s">
        <v>4297</v>
      </c>
    </row>
    <row r="6043" spans="1:14" x14ac:dyDescent="0.25">
      <c r="A6043" t="s">
        <v>13759</v>
      </c>
      <c r="B6043">
        <v>451718</v>
      </c>
      <c r="C6043">
        <v>5888987</v>
      </c>
      <c r="D6043">
        <v>21</v>
      </c>
      <c r="E6043" t="s">
        <v>15</v>
      </c>
      <c r="F6043" t="s">
        <v>13760</v>
      </c>
      <c r="G6043">
        <v>1</v>
      </c>
      <c r="H6043" t="s">
        <v>60</v>
      </c>
      <c r="I6043" t="s">
        <v>25</v>
      </c>
      <c r="J6043" t="s">
        <v>61</v>
      </c>
      <c r="K6043" t="s">
        <v>20</v>
      </c>
      <c r="L6043" t="s">
        <v>13761</v>
      </c>
      <c r="M6043" s="3" t="str">
        <f>HYPERLINK("..\..\Imagery\ScannedPhotos\1984\CG84-213cropped.jpg")</f>
        <v>..\..\Imagery\ScannedPhotos\1984\CG84-213cropped.jpg</v>
      </c>
      <c r="N6043" t="s">
        <v>4297</v>
      </c>
    </row>
    <row r="6044" spans="1:14" x14ac:dyDescent="0.25">
      <c r="A6044" t="s">
        <v>13762</v>
      </c>
      <c r="B6044">
        <v>454928</v>
      </c>
      <c r="C6044">
        <v>5876653</v>
      </c>
      <c r="D6044">
        <v>21</v>
      </c>
      <c r="E6044" t="s">
        <v>15</v>
      </c>
      <c r="F6044" t="s">
        <v>13763</v>
      </c>
      <c r="G6044">
        <v>1</v>
      </c>
      <c r="H6044" t="s">
        <v>60</v>
      </c>
      <c r="I6044" t="s">
        <v>126</v>
      </c>
      <c r="J6044" t="s">
        <v>61</v>
      </c>
      <c r="K6044" t="s">
        <v>20</v>
      </c>
      <c r="L6044" t="s">
        <v>1020</v>
      </c>
      <c r="M6044" s="3" t="str">
        <f>HYPERLINK("..\..\Imagery\ScannedPhotos\1984\CG84-278cropped.jpg")</f>
        <v>..\..\Imagery\ScannedPhotos\1984\CG84-278cropped.jpg</v>
      </c>
      <c r="N6044" t="s">
        <v>4297</v>
      </c>
    </row>
    <row r="6045" spans="1:14" x14ac:dyDescent="0.25">
      <c r="A6045" t="s">
        <v>13764</v>
      </c>
      <c r="B6045">
        <v>458665</v>
      </c>
      <c r="C6045">
        <v>5878780</v>
      </c>
      <c r="D6045">
        <v>21</v>
      </c>
      <c r="E6045" t="s">
        <v>15</v>
      </c>
      <c r="F6045" t="s">
        <v>13765</v>
      </c>
      <c r="G6045">
        <v>1</v>
      </c>
      <c r="H6045" t="s">
        <v>60</v>
      </c>
      <c r="I6045" t="s">
        <v>147</v>
      </c>
      <c r="J6045" t="s">
        <v>61</v>
      </c>
      <c r="K6045" t="s">
        <v>56</v>
      </c>
      <c r="L6045" t="s">
        <v>4175</v>
      </c>
      <c r="M6045" s="3" t="str">
        <f>HYPERLINK("..\..\Imagery\ScannedPhotos\1984\CG84-281cropped.jpg")</f>
        <v>..\..\Imagery\ScannedPhotos\1984\CG84-281cropped.jpg</v>
      </c>
      <c r="N6045" t="s">
        <v>4297</v>
      </c>
    </row>
    <row r="6046" spans="1:14" x14ac:dyDescent="0.25">
      <c r="A6046" t="s">
        <v>58</v>
      </c>
      <c r="B6046">
        <v>463182</v>
      </c>
      <c r="C6046">
        <v>5878558</v>
      </c>
      <c r="D6046">
        <v>21</v>
      </c>
      <c r="E6046" t="s">
        <v>15</v>
      </c>
      <c r="F6046" t="s">
        <v>13766</v>
      </c>
      <c r="G6046">
        <v>2</v>
      </c>
      <c r="H6046" t="s">
        <v>60</v>
      </c>
      <c r="I6046" t="s">
        <v>47</v>
      </c>
      <c r="J6046" t="s">
        <v>61</v>
      </c>
      <c r="K6046" t="s">
        <v>20</v>
      </c>
      <c r="L6046" t="s">
        <v>62</v>
      </c>
      <c r="M6046" s="3" t="str">
        <f>HYPERLINK("..\..\Imagery\ScannedPhotos\1984\CG84-291.1cropped.jpg")</f>
        <v>..\..\Imagery\ScannedPhotos\1984\CG84-291.1cropped.jpg</v>
      </c>
      <c r="N6046" t="s">
        <v>4297</v>
      </c>
    </row>
    <row r="6047" spans="1:14" x14ac:dyDescent="0.25">
      <c r="A6047" t="s">
        <v>4928</v>
      </c>
      <c r="B6047">
        <v>465783</v>
      </c>
      <c r="C6047">
        <v>5876976</v>
      </c>
      <c r="D6047">
        <v>21</v>
      </c>
      <c r="E6047" t="s">
        <v>15</v>
      </c>
      <c r="F6047" t="s">
        <v>13767</v>
      </c>
      <c r="G6047">
        <v>4</v>
      </c>
      <c r="H6047" t="s">
        <v>2895</v>
      </c>
      <c r="I6047" t="s">
        <v>79</v>
      </c>
      <c r="J6047" t="s">
        <v>2896</v>
      </c>
      <c r="K6047" t="s">
        <v>20</v>
      </c>
      <c r="L6047" t="s">
        <v>4930</v>
      </c>
      <c r="M6047" s="3" t="str">
        <f>HYPERLINK("..\..\Imagery\ScannedPhotos\1984\CG84-300.2cropped.jpg")</f>
        <v>..\..\Imagery\ScannedPhotos\1984\CG84-300.2cropped.jpg</v>
      </c>
      <c r="N6047" t="s">
        <v>4297</v>
      </c>
    </row>
    <row r="6048" spans="1:14" x14ac:dyDescent="0.25">
      <c r="A6048" t="s">
        <v>4928</v>
      </c>
      <c r="B6048">
        <v>465783</v>
      </c>
      <c r="C6048">
        <v>5876976</v>
      </c>
      <c r="D6048">
        <v>21</v>
      </c>
      <c r="E6048" t="s">
        <v>15</v>
      </c>
      <c r="F6048" t="s">
        <v>13768</v>
      </c>
      <c r="G6048">
        <v>4</v>
      </c>
      <c r="H6048" t="s">
        <v>2895</v>
      </c>
      <c r="I6048" t="s">
        <v>281</v>
      </c>
      <c r="J6048" t="s">
        <v>2896</v>
      </c>
      <c r="K6048" t="s">
        <v>20</v>
      </c>
      <c r="L6048" t="s">
        <v>4930</v>
      </c>
      <c r="M6048" s="3" t="str">
        <f>HYPERLINK("..\..\Imagery\ScannedPhotos\1984\CG84-300.3cropped.jpg")</f>
        <v>..\..\Imagery\ScannedPhotos\1984\CG84-300.3cropped.jpg</v>
      </c>
      <c r="N6048" t="s">
        <v>4297</v>
      </c>
    </row>
    <row r="6049" spans="1:14" x14ac:dyDescent="0.25">
      <c r="A6049" t="s">
        <v>4928</v>
      </c>
      <c r="B6049">
        <v>465783</v>
      </c>
      <c r="C6049">
        <v>5876976</v>
      </c>
      <c r="D6049">
        <v>21</v>
      </c>
      <c r="E6049" t="s">
        <v>15</v>
      </c>
      <c r="F6049" t="s">
        <v>13769</v>
      </c>
      <c r="G6049">
        <v>4</v>
      </c>
      <c r="H6049" t="s">
        <v>2895</v>
      </c>
      <c r="I6049" t="s">
        <v>137</v>
      </c>
      <c r="J6049" t="s">
        <v>2896</v>
      </c>
      <c r="K6049" t="s">
        <v>20</v>
      </c>
      <c r="L6049" t="s">
        <v>4930</v>
      </c>
      <c r="M6049" s="3" t="str">
        <f>HYPERLINK("..\..\Imagery\ScannedPhotos\1984\CG84-300.4cropped.jpg")</f>
        <v>..\..\Imagery\ScannedPhotos\1984\CG84-300.4cropped.jpg</v>
      </c>
      <c r="N6049" t="s">
        <v>4297</v>
      </c>
    </row>
    <row r="6050" spans="1:14" x14ac:dyDescent="0.25">
      <c r="A6050" t="s">
        <v>13770</v>
      </c>
      <c r="B6050">
        <v>457171</v>
      </c>
      <c r="C6050">
        <v>5873255</v>
      </c>
      <c r="D6050">
        <v>21</v>
      </c>
      <c r="E6050" t="s">
        <v>15</v>
      </c>
      <c r="F6050" t="s">
        <v>13771</v>
      </c>
      <c r="G6050">
        <v>1</v>
      </c>
      <c r="H6050" t="s">
        <v>2895</v>
      </c>
      <c r="I6050" t="s">
        <v>41</v>
      </c>
      <c r="J6050" t="s">
        <v>2896</v>
      </c>
      <c r="K6050" t="s">
        <v>20</v>
      </c>
      <c r="L6050" t="s">
        <v>13772</v>
      </c>
      <c r="M6050" s="3" t="str">
        <f>HYPERLINK("..\..\Imagery\ScannedPhotos\1984\CG84-309cropped.jpg")</f>
        <v>..\..\Imagery\ScannedPhotos\1984\CG84-309cropped.jpg</v>
      </c>
      <c r="N6050" t="s">
        <v>4297</v>
      </c>
    </row>
    <row r="6051" spans="1:14" x14ac:dyDescent="0.25">
      <c r="A6051" t="s">
        <v>5758</v>
      </c>
      <c r="B6051">
        <v>480167</v>
      </c>
      <c r="C6051">
        <v>5903123</v>
      </c>
      <c r="D6051">
        <v>21</v>
      </c>
      <c r="E6051" t="s">
        <v>15</v>
      </c>
      <c r="F6051" t="s">
        <v>13773</v>
      </c>
      <c r="G6051">
        <v>5</v>
      </c>
      <c r="H6051" t="s">
        <v>2895</v>
      </c>
      <c r="I6051" t="s">
        <v>30</v>
      </c>
      <c r="J6051" t="s">
        <v>2896</v>
      </c>
      <c r="K6051" t="s">
        <v>20</v>
      </c>
      <c r="L6051" t="s">
        <v>6032</v>
      </c>
      <c r="M6051" s="3" t="str">
        <f>HYPERLINK("..\..\Imagery\ScannedPhotos\1984\CG84-381.2cropped.jpg")</f>
        <v>..\..\Imagery\ScannedPhotos\1984\CG84-381.2cropped.jpg</v>
      </c>
      <c r="N6051" t="s">
        <v>4297</v>
      </c>
    </row>
    <row r="6052" spans="1:14" x14ac:dyDescent="0.25">
      <c r="A6052" t="s">
        <v>5758</v>
      </c>
      <c r="B6052">
        <v>480167</v>
      </c>
      <c r="C6052">
        <v>5903123</v>
      </c>
      <c r="D6052">
        <v>21</v>
      </c>
      <c r="E6052" t="s">
        <v>15</v>
      </c>
      <c r="F6052" t="s">
        <v>13774</v>
      </c>
      <c r="G6052">
        <v>5</v>
      </c>
      <c r="H6052" t="s">
        <v>2895</v>
      </c>
      <c r="I6052" t="s">
        <v>114</v>
      </c>
      <c r="J6052" t="s">
        <v>2896</v>
      </c>
      <c r="K6052" t="s">
        <v>56</v>
      </c>
      <c r="L6052" t="s">
        <v>5760</v>
      </c>
      <c r="M6052" s="3" t="str">
        <f>HYPERLINK("..\..\Imagery\ScannedPhotos\1984\CG84-381.3cropped.jpg")</f>
        <v>..\..\Imagery\ScannedPhotos\1984\CG84-381.3cropped.jpg</v>
      </c>
      <c r="N6052" t="s">
        <v>4297</v>
      </c>
    </row>
    <row r="6053" spans="1:14" x14ac:dyDescent="0.25">
      <c r="A6053" t="s">
        <v>859</v>
      </c>
      <c r="B6053">
        <v>480915</v>
      </c>
      <c r="C6053">
        <v>5931165</v>
      </c>
      <c r="D6053">
        <v>21</v>
      </c>
      <c r="E6053" t="s">
        <v>15</v>
      </c>
      <c r="F6053" t="s">
        <v>13775</v>
      </c>
      <c r="G6053">
        <v>10</v>
      </c>
      <c r="H6053" t="s">
        <v>201</v>
      </c>
      <c r="I6053" t="s">
        <v>129</v>
      </c>
      <c r="J6053" t="s">
        <v>202</v>
      </c>
      <c r="K6053" t="s">
        <v>20</v>
      </c>
      <c r="L6053" t="s">
        <v>13776</v>
      </c>
      <c r="M6053" s="3" t="str">
        <f>HYPERLINK("..\..\Imagery\ScannedPhotos\1984\CG84-436.3cropped.jpg")</f>
        <v>..\..\Imagery\ScannedPhotos\1984\CG84-436.3cropped.jpg</v>
      </c>
      <c r="N6053" t="s">
        <v>4297</v>
      </c>
    </row>
    <row r="6054" spans="1:14" x14ac:dyDescent="0.25">
      <c r="A6054" t="s">
        <v>859</v>
      </c>
      <c r="B6054">
        <v>480915</v>
      </c>
      <c r="C6054">
        <v>5931165</v>
      </c>
      <c r="D6054">
        <v>21</v>
      </c>
      <c r="E6054" t="s">
        <v>15</v>
      </c>
      <c r="F6054" t="s">
        <v>13777</v>
      </c>
      <c r="G6054">
        <v>10</v>
      </c>
      <c r="H6054" t="s">
        <v>201</v>
      </c>
      <c r="I6054" t="s">
        <v>47</v>
      </c>
      <c r="J6054" t="s">
        <v>202</v>
      </c>
      <c r="K6054" t="s">
        <v>20</v>
      </c>
      <c r="L6054" t="s">
        <v>13778</v>
      </c>
      <c r="M6054" s="3" t="str">
        <f>HYPERLINK("..\..\Imagery\ScannedPhotos\1984\CG84-436.6cropped.jpg")</f>
        <v>..\..\Imagery\ScannedPhotos\1984\CG84-436.6cropped.jpg</v>
      </c>
      <c r="N6054" t="s">
        <v>4297</v>
      </c>
    </row>
    <row r="6055" spans="1:14" x14ac:dyDescent="0.25">
      <c r="A6055" t="s">
        <v>859</v>
      </c>
      <c r="B6055">
        <v>480915</v>
      </c>
      <c r="C6055">
        <v>5931165</v>
      </c>
      <c r="D6055">
        <v>21</v>
      </c>
      <c r="E6055" t="s">
        <v>15</v>
      </c>
      <c r="F6055" t="s">
        <v>13779</v>
      </c>
      <c r="G6055">
        <v>10</v>
      </c>
      <c r="H6055" t="s">
        <v>17</v>
      </c>
      <c r="I6055" t="s">
        <v>209</v>
      </c>
      <c r="J6055" t="s">
        <v>19</v>
      </c>
      <c r="K6055" t="s">
        <v>20</v>
      </c>
      <c r="L6055" t="s">
        <v>861</v>
      </c>
      <c r="M6055" s="3" t="str">
        <f>HYPERLINK("..\..\Imagery\ScannedPhotos\1984\CG84-436.8cropped.jpg")</f>
        <v>..\..\Imagery\ScannedPhotos\1984\CG84-436.8cropped.jpg</v>
      </c>
      <c r="N6055" t="s">
        <v>4297</v>
      </c>
    </row>
    <row r="6056" spans="1:14" x14ac:dyDescent="0.25">
      <c r="A6056" t="s">
        <v>859</v>
      </c>
      <c r="B6056">
        <v>480915</v>
      </c>
      <c r="C6056">
        <v>5931165</v>
      </c>
      <c r="D6056">
        <v>21</v>
      </c>
      <c r="E6056" t="s">
        <v>15</v>
      </c>
      <c r="F6056" t="s">
        <v>13780</v>
      </c>
      <c r="G6056">
        <v>10</v>
      </c>
      <c r="H6056" t="s">
        <v>2284</v>
      </c>
      <c r="I6056" t="s">
        <v>222</v>
      </c>
      <c r="J6056" t="s">
        <v>3136</v>
      </c>
      <c r="K6056" t="s">
        <v>228</v>
      </c>
      <c r="L6056" t="s">
        <v>13781</v>
      </c>
      <c r="M6056" s="3" t="str">
        <f>HYPERLINK("..\..\Imagery\ScannedPhotos\1984\CG84-436.10E.jpg")</f>
        <v>..\..\Imagery\ScannedPhotos\1984\CG84-436.10E.jpg</v>
      </c>
      <c r="N6056" t="s">
        <v>1808</v>
      </c>
    </row>
    <row r="6057" spans="1:14" x14ac:dyDescent="0.25">
      <c r="A6057" t="s">
        <v>4504</v>
      </c>
      <c r="B6057">
        <v>464726</v>
      </c>
      <c r="C6057">
        <v>5927866</v>
      </c>
      <c r="D6057">
        <v>21</v>
      </c>
      <c r="E6057" t="s">
        <v>15</v>
      </c>
      <c r="F6057" t="s">
        <v>13782</v>
      </c>
      <c r="G6057">
        <v>8</v>
      </c>
      <c r="H6057" t="s">
        <v>4506</v>
      </c>
      <c r="I6057" t="s">
        <v>386</v>
      </c>
      <c r="J6057" t="s">
        <v>2247</v>
      </c>
      <c r="K6057" t="s">
        <v>20</v>
      </c>
      <c r="L6057" t="s">
        <v>13783</v>
      </c>
      <c r="M6057" s="3" t="str">
        <f>HYPERLINK("..\..\Imagery\ScannedPhotos\1984\CG84-442.4cropped.jpg")</f>
        <v>..\..\Imagery\ScannedPhotos\1984\CG84-442.4cropped.jpg</v>
      </c>
      <c r="N6057" t="s">
        <v>4297</v>
      </c>
    </row>
    <row r="6058" spans="1:14" x14ac:dyDescent="0.25">
      <c r="A6058" t="s">
        <v>13784</v>
      </c>
      <c r="B6058">
        <v>525165</v>
      </c>
      <c r="C6058">
        <v>5958255</v>
      </c>
      <c r="D6058">
        <v>21</v>
      </c>
      <c r="E6058" t="s">
        <v>15</v>
      </c>
      <c r="F6058" t="s">
        <v>13785</v>
      </c>
      <c r="G6058">
        <v>1</v>
      </c>
      <c r="H6058" t="s">
        <v>2733</v>
      </c>
      <c r="I6058" t="s">
        <v>126</v>
      </c>
      <c r="J6058" t="s">
        <v>814</v>
      </c>
      <c r="K6058" t="s">
        <v>20</v>
      </c>
      <c r="L6058" t="s">
        <v>13786</v>
      </c>
      <c r="M6058" s="3" t="str">
        <f>HYPERLINK("..\..\Imagery\ScannedPhotos\1984\CG84-491cropped.jpg")</f>
        <v>..\..\Imagery\ScannedPhotos\1984\CG84-491cropped.jpg</v>
      </c>
      <c r="N6058" t="s">
        <v>4297</v>
      </c>
    </row>
    <row r="6059" spans="1:14" x14ac:dyDescent="0.25">
      <c r="A6059" t="s">
        <v>6775</v>
      </c>
      <c r="B6059">
        <v>447658</v>
      </c>
      <c r="C6059">
        <v>5898785</v>
      </c>
      <c r="D6059">
        <v>21</v>
      </c>
      <c r="E6059" t="s">
        <v>15</v>
      </c>
      <c r="F6059" t="s">
        <v>13787</v>
      </c>
      <c r="G6059">
        <v>6</v>
      </c>
      <c r="H6059" t="s">
        <v>201</v>
      </c>
      <c r="I6059" t="s">
        <v>126</v>
      </c>
      <c r="J6059" t="s">
        <v>202</v>
      </c>
      <c r="K6059" t="s">
        <v>20</v>
      </c>
      <c r="L6059" t="s">
        <v>6777</v>
      </c>
      <c r="M6059" s="3" t="str">
        <f>HYPERLINK("..\..\Imagery\ScannedPhotos\1984\CG84-495.5cropped.jpg")</f>
        <v>..\..\Imagery\ScannedPhotos\1984\CG84-495.5cropped.jpg</v>
      </c>
      <c r="N6059" t="s">
        <v>4297</v>
      </c>
    </row>
    <row r="6060" spans="1:14" x14ac:dyDescent="0.25">
      <c r="A6060" t="s">
        <v>13788</v>
      </c>
      <c r="B6060">
        <v>447063</v>
      </c>
      <c r="C6060">
        <v>5912741</v>
      </c>
      <c r="D6060">
        <v>21</v>
      </c>
      <c r="E6060" t="s">
        <v>15</v>
      </c>
      <c r="F6060" t="s">
        <v>13789</v>
      </c>
      <c r="G6060">
        <v>1</v>
      </c>
      <c r="H6060" t="s">
        <v>2459</v>
      </c>
      <c r="I6060" t="s">
        <v>25</v>
      </c>
      <c r="J6060" t="s">
        <v>2247</v>
      </c>
      <c r="K6060" t="s">
        <v>228</v>
      </c>
      <c r="L6060" t="s">
        <v>13790</v>
      </c>
      <c r="M6060" s="3" t="str">
        <f>HYPERLINK("..\..\Imagery\ScannedPhotos\1984\NN84-170E.jpg")</f>
        <v>..\..\Imagery\ScannedPhotos\1984\NN84-170E.jpg</v>
      </c>
      <c r="N6060" t="s">
        <v>1808</v>
      </c>
    </row>
    <row r="6061" spans="1:14" x14ac:dyDescent="0.25">
      <c r="A6061" t="s">
        <v>12851</v>
      </c>
      <c r="B6061">
        <v>450574</v>
      </c>
      <c r="C6061">
        <v>5895850</v>
      </c>
      <c r="D6061">
        <v>21</v>
      </c>
      <c r="E6061" t="s">
        <v>15</v>
      </c>
      <c r="F6061" t="s">
        <v>13791</v>
      </c>
      <c r="G6061">
        <v>3</v>
      </c>
      <c r="H6061" t="s">
        <v>6176</v>
      </c>
      <c r="I6061" t="s">
        <v>114</v>
      </c>
      <c r="J6061" t="s">
        <v>2247</v>
      </c>
      <c r="K6061" t="s">
        <v>20</v>
      </c>
      <c r="L6061" t="s">
        <v>12853</v>
      </c>
      <c r="M6061" s="3" t="str">
        <f>HYPERLINK("..\..\Imagery\ScannedPhotos\1984\NN84-285.1E.jpg")</f>
        <v>..\..\Imagery\ScannedPhotos\1984\NN84-285.1E.jpg</v>
      </c>
      <c r="N6061" t="s">
        <v>1808</v>
      </c>
    </row>
    <row r="6062" spans="1:14" x14ac:dyDescent="0.25">
      <c r="A6062" t="s">
        <v>13792</v>
      </c>
      <c r="B6062">
        <v>478309</v>
      </c>
      <c r="C6062">
        <v>5923283</v>
      </c>
      <c r="D6062">
        <v>21</v>
      </c>
      <c r="E6062" t="s">
        <v>15</v>
      </c>
      <c r="F6062" t="s">
        <v>13793</v>
      </c>
      <c r="G6062">
        <v>1</v>
      </c>
      <c r="H6062" t="s">
        <v>2895</v>
      </c>
      <c r="I6062" t="s">
        <v>195</v>
      </c>
      <c r="J6062" t="s">
        <v>2896</v>
      </c>
      <c r="K6062" t="s">
        <v>228</v>
      </c>
      <c r="L6062" t="s">
        <v>13794</v>
      </c>
      <c r="M6062" s="3" t="str">
        <f>HYPERLINK("..\..\Imagery\ScannedPhotos\1984\VN84-032E.jpg")</f>
        <v>..\..\Imagery\ScannedPhotos\1984\VN84-032E.jpg</v>
      </c>
      <c r="N6062" t="s">
        <v>1808</v>
      </c>
    </row>
    <row r="6063" spans="1:14" x14ac:dyDescent="0.25">
      <c r="A6063" t="s">
        <v>9811</v>
      </c>
      <c r="B6063">
        <v>468272</v>
      </c>
      <c r="C6063">
        <v>5903962</v>
      </c>
      <c r="D6063">
        <v>21</v>
      </c>
      <c r="E6063" t="s">
        <v>15</v>
      </c>
      <c r="F6063" t="s">
        <v>13795</v>
      </c>
      <c r="G6063">
        <v>6</v>
      </c>
      <c r="H6063" t="s">
        <v>4524</v>
      </c>
      <c r="I6063" t="s">
        <v>94</v>
      </c>
      <c r="J6063" t="s">
        <v>3309</v>
      </c>
      <c r="K6063" t="s">
        <v>20</v>
      </c>
      <c r="L6063" t="s">
        <v>10887</v>
      </c>
      <c r="M6063" s="3" t="str">
        <f>HYPERLINK("..\..\Imagery\ScannedPhotos\1984\VN84-431.2cropped.jpg")</f>
        <v>..\..\Imagery\ScannedPhotos\1984\VN84-431.2cropped.jpg</v>
      </c>
      <c r="N6063" t="s">
        <v>4297</v>
      </c>
    </row>
    <row r="6064" spans="1:14" x14ac:dyDescent="0.25">
      <c r="A6064" t="s">
        <v>5747</v>
      </c>
      <c r="B6064">
        <v>575062</v>
      </c>
      <c r="C6064">
        <v>5756108</v>
      </c>
      <c r="D6064">
        <v>21</v>
      </c>
      <c r="E6064" t="s">
        <v>15</v>
      </c>
      <c r="F6064" t="s">
        <v>13796</v>
      </c>
      <c r="G6064">
        <v>3</v>
      </c>
      <c r="H6064" t="s">
        <v>869</v>
      </c>
      <c r="I6064" t="s">
        <v>108</v>
      </c>
      <c r="J6064" t="s">
        <v>870</v>
      </c>
      <c r="K6064" t="s">
        <v>20</v>
      </c>
      <c r="L6064" t="s">
        <v>13797</v>
      </c>
      <c r="M6064" s="3" t="str">
        <f>HYPERLINK("..\..\Imagery\ScannedPhotos\1993\VN93-660.1E.jpg")</f>
        <v>..\..\Imagery\ScannedPhotos\1993\VN93-660.1E.jpg</v>
      </c>
      <c r="N6064" t="s">
        <v>1808</v>
      </c>
    </row>
    <row r="6065" spans="1:14" x14ac:dyDescent="0.25">
      <c r="A6065" t="s">
        <v>5747</v>
      </c>
      <c r="B6065">
        <v>575062</v>
      </c>
      <c r="C6065">
        <v>5756108</v>
      </c>
      <c r="D6065">
        <v>21</v>
      </c>
      <c r="E6065" t="s">
        <v>15</v>
      </c>
      <c r="F6065" t="s">
        <v>13798</v>
      </c>
      <c r="G6065">
        <v>3</v>
      </c>
      <c r="H6065" t="s">
        <v>984</v>
      </c>
      <c r="I6065" t="s">
        <v>94</v>
      </c>
      <c r="J6065" t="s">
        <v>985</v>
      </c>
      <c r="K6065" t="s">
        <v>20</v>
      </c>
      <c r="L6065" t="s">
        <v>5749</v>
      </c>
      <c r="M6065" s="3" t="str">
        <f>HYPERLINK("..\..\Imagery\ScannedPhotos\1993\VN93-660.2E.jpg")</f>
        <v>..\..\Imagery\ScannedPhotos\1993\VN93-660.2E.jpg</v>
      </c>
      <c r="N6065" t="s">
        <v>1808</v>
      </c>
    </row>
    <row r="6066" spans="1:14" x14ac:dyDescent="0.25">
      <c r="A6066" t="s">
        <v>523</v>
      </c>
      <c r="B6066">
        <v>575599</v>
      </c>
      <c r="C6066">
        <v>5756653</v>
      </c>
      <c r="D6066">
        <v>21</v>
      </c>
      <c r="E6066" t="s">
        <v>15</v>
      </c>
      <c r="F6066" t="s">
        <v>13799</v>
      </c>
      <c r="G6066">
        <v>16</v>
      </c>
      <c r="H6066" t="s">
        <v>869</v>
      </c>
      <c r="I6066" t="s">
        <v>129</v>
      </c>
      <c r="J6066" t="s">
        <v>870</v>
      </c>
      <c r="K6066" t="s">
        <v>20</v>
      </c>
      <c r="L6066" t="s">
        <v>13800</v>
      </c>
      <c r="M6066" s="3" t="str">
        <f>HYPERLINK("..\..\Imagery\ScannedPhotos\1993\VN93-662.1E.jpg")</f>
        <v>..\..\Imagery\ScannedPhotos\1993\VN93-662.1E.jpg</v>
      </c>
      <c r="N6066" t="s">
        <v>1808</v>
      </c>
    </row>
    <row r="6067" spans="1:14" x14ac:dyDescent="0.25">
      <c r="A6067" t="s">
        <v>523</v>
      </c>
      <c r="B6067">
        <v>575599</v>
      </c>
      <c r="C6067">
        <v>5756653</v>
      </c>
      <c r="D6067">
        <v>21</v>
      </c>
      <c r="E6067" t="s">
        <v>15</v>
      </c>
      <c r="F6067" t="s">
        <v>13801</v>
      </c>
      <c r="G6067">
        <v>16</v>
      </c>
      <c r="H6067" t="s">
        <v>984</v>
      </c>
      <c r="I6067" t="s">
        <v>18</v>
      </c>
      <c r="J6067" t="s">
        <v>985</v>
      </c>
      <c r="K6067" t="s">
        <v>20</v>
      </c>
      <c r="L6067" t="s">
        <v>13802</v>
      </c>
      <c r="M6067" s="3" t="str">
        <f>HYPERLINK("..\..\Imagery\ScannedPhotos\1993\VN93-662.6E.jpg")</f>
        <v>..\..\Imagery\ScannedPhotos\1993\VN93-662.6E.jpg</v>
      </c>
      <c r="N6067" t="s">
        <v>1808</v>
      </c>
    </row>
    <row r="6068" spans="1:14" x14ac:dyDescent="0.25">
      <c r="A6068" t="s">
        <v>8482</v>
      </c>
      <c r="B6068">
        <v>373175</v>
      </c>
      <c r="C6068">
        <v>5902921</v>
      </c>
      <c r="D6068">
        <v>21</v>
      </c>
      <c r="E6068" t="s">
        <v>15</v>
      </c>
      <c r="F6068" t="s">
        <v>13803</v>
      </c>
      <c r="G6068">
        <v>2</v>
      </c>
      <c r="H6068" t="s">
        <v>1826</v>
      </c>
      <c r="I6068" t="s">
        <v>35</v>
      </c>
      <c r="J6068" t="s">
        <v>557</v>
      </c>
      <c r="K6068" t="s">
        <v>20</v>
      </c>
      <c r="L6068" t="s">
        <v>1045</v>
      </c>
      <c r="M6068" s="3" t="str">
        <f>HYPERLINK("..\..\Imagery\ScannedPhotos\1995\CG95-150.2cropped.jpg")</f>
        <v>..\..\Imagery\ScannedPhotos\1995\CG95-150.2cropped.jpg</v>
      </c>
      <c r="N6068" t="s">
        <v>4297</v>
      </c>
    </row>
    <row r="6069" spans="1:14" x14ac:dyDescent="0.25">
      <c r="A6069" t="s">
        <v>1828</v>
      </c>
      <c r="B6069">
        <v>381009</v>
      </c>
      <c r="C6069">
        <v>5921419</v>
      </c>
      <c r="D6069">
        <v>21</v>
      </c>
      <c r="E6069" t="s">
        <v>15</v>
      </c>
      <c r="F6069" t="s">
        <v>13804</v>
      </c>
      <c r="G6069">
        <v>2</v>
      </c>
      <c r="H6069" t="s">
        <v>1826</v>
      </c>
      <c r="I6069" t="s">
        <v>401</v>
      </c>
      <c r="J6069" t="s">
        <v>557</v>
      </c>
      <c r="K6069" t="s">
        <v>20</v>
      </c>
      <c r="L6069" t="s">
        <v>1830</v>
      </c>
      <c r="M6069" s="3" t="str">
        <f>HYPERLINK("..\..\Imagery\ScannedPhotos\1995\CG95-221.2cropped.jpg")</f>
        <v>..\..\Imagery\ScannedPhotos\1995\CG95-221.2cropped.jpg</v>
      </c>
      <c r="N6069" t="s">
        <v>4297</v>
      </c>
    </row>
    <row r="6070" spans="1:14" x14ac:dyDescent="0.25">
      <c r="A6070" t="s">
        <v>7198</v>
      </c>
      <c r="B6070">
        <v>379225</v>
      </c>
      <c r="C6070">
        <v>5925962</v>
      </c>
      <c r="D6070">
        <v>21</v>
      </c>
      <c r="E6070" t="s">
        <v>15</v>
      </c>
      <c r="F6070" t="s">
        <v>13805</v>
      </c>
      <c r="G6070">
        <v>8</v>
      </c>
      <c r="H6070" t="s">
        <v>3762</v>
      </c>
      <c r="I6070" t="s">
        <v>94</v>
      </c>
      <c r="J6070" t="s">
        <v>557</v>
      </c>
      <c r="K6070" t="s">
        <v>20</v>
      </c>
      <c r="L6070" t="s">
        <v>13806</v>
      </c>
      <c r="M6070" s="3" t="str">
        <f>HYPERLINK("..\..\Imagery\ScannedPhotos\1995\CG95-249.6cropped.jpg")</f>
        <v>..\..\Imagery\ScannedPhotos\1995\CG95-249.6cropped.jpg</v>
      </c>
      <c r="N6070" t="s">
        <v>4297</v>
      </c>
    </row>
    <row r="6071" spans="1:14" x14ac:dyDescent="0.25">
      <c r="A6071" t="s">
        <v>1680</v>
      </c>
      <c r="B6071">
        <v>416650</v>
      </c>
      <c r="C6071">
        <v>5875024</v>
      </c>
      <c r="D6071">
        <v>21</v>
      </c>
      <c r="E6071" t="s">
        <v>15</v>
      </c>
      <c r="F6071" t="s">
        <v>13807</v>
      </c>
      <c r="G6071">
        <v>10</v>
      </c>
      <c r="H6071" t="s">
        <v>556</v>
      </c>
      <c r="I6071" t="s">
        <v>281</v>
      </c>
      <c r="J6071" t="s">
        <v>557</v>
      </c>
      <c r="K6071" t="s">
        <v>20</v>
      </c>
      <c r="L6071" t="s">
        <v>116</v>
      </c>
      <c r="M6071" s="3" t="str">
        <f>HYPERLINK("..\..\Imagery\ScannedPhotos\1995\CG95-341.3cropped.jpg")</f>
        <v>..\..\Imagery\ScannedPhotos\1995\CG95-341.3cropped.jpg</v>
      </c>
      <c r="N6071" t="s">
        <v>4297</v>
      </c>
    </row>
    <row r="6072" spans="1:14" x14ac:dyDescent="0.25">
      <c r="A6072" t="s">
        <v>1680</v>
      </c>
      <c r="B6072">
        <v>416650</v>
      </c>
      <c r="C6072">
        <v>5875024</v>
      </c>
      <c r="D6072">
        <v>21</v>
      </c>
      <c r="E6072" t="s">
        <v>15</v>
      </c>
      <c r="F6072" t="s">
        <v>13808</v>
      </c>
      <c r="G6072">
        <v>10</v>
      </c>
      <c r="H6072" t="s">
        <v>556</v>
      </c>
      <c r="I6072" t="s">
        <v>41</v>
      </c>
      <c r="J6072" t="s">
        <v>557</v>
      </c>
      <c r="K6072" t="s">
        <v>20</v>
      </c>
      <c r="L6072" t="s">
        <v>13809</v>
      </c>
      <c r="M6072" s="3" t="str">
        <f>HYPERLINK("..\..\Imagery\ScannedPhotos\1995\CG95-341.8cropped.jpg")</f>
        <v>..\..\Imagery\ScannedPhotos\1995\CG95-341.8cropped.jpg</v>
      </c>
      <c r="N6072" t="s">
        <v>4297</v>
      </c>
    </row>
    <row r="6073" spans="1:14" x14ac:dyDescent="0.25">
      <c r="A6073" t="s">
        <v>4191</v>
      </c>
      <c r="B6073">
        <v>423969</v>
      </c>
      <c r="C6073">
        <v>5891291</v>
      </c>
      <c r="D6073">
        <v>21</v>
      </c>
      <c r="E6073" t="s">
        <v>15</v>
      </c>
      <c r="F6073" t="s">
        <v>13810</v>
      </c>
      <c r="G6073">
        <v>2</v>
      </c>
      <c r="H6073" t="s">
        <v>1251</v>
      </c>
      <c r="I6073" t="s">
        <v>304</v>
      </c>
      <c r="J6073" t="s">
        <v>563</v>
      </c>
      <c r="K6073" t="s">
        <v>20</v>
      </c>
      <c r="L6073" t="s">
        <v>13811</v>
      </c>
      <c r="M6073" s="3" t="str">
        <f>HYPERLINK("..\..\Imagery\ScannedPhotos\1995\VN95-016.2cropped.jpg")</f>
        <v>..\..\Imagery\ScannedPhotos\1995\VN95-016.2cropped.jpg</v>
      </c>
      <c r="N6073" t="s">
        <v>4297</v>
      </c>
    </row>
    <row r="6074" spans="1:14" x14ac:dyDescent="0.25">
      <c r="A6074" t="s">
        <v>554</v>
      </c>
      <c r="B6074">
        <v>411624</v>
      </c>
      <c r="C6074">
        <v>5904951</v>
      </c>
      <c r="D6074">
        <v>21</v>
      </c>
      <c r="E6074" t="s">
        <v>15</v>
      </c>
      <c r="F6074" t="s">
        <v>13812</v>
      </c>
      <c r="G6074">
        <v>3</v>
      </c>
      <c r="H6074" t="s">
        <v>556</v>
      </c>
      <c r="I6074" t="s">
        <v>209</v>
      </c>
      <c r="J6074" t="s">
        <v>557</v>
      </c>
      <c r="K6074" t="s">
        <v>20</v>
      </c>
      <c r="L6074" t="s">
        <v>558</v>
      </c>
      <c r="M6074" s="3" t="str">
        <f>HYPERLINK("..\..\Imagery\ScannedPhotos\1995\VN95-060.2cropped.jpg")</f>
        <v>..\..\Imagery\ScannedPhotos\1995\VN95-060.2cropped.jpg</v>
      </c>
      <c r="N6074" t="s">
        <v>4297</v>
      </c>
    </row>
    <row r="6075" spans="1:14" x14ac:dyDescent="0.25">
      <c r="A6075" t="s">
        <v>13813</v>
      </c>
      <c r="B6075">
        <v>393064</v>
      </c>
      <c r="C6075">
        <v>5913632</v>
      </c>
      <c r="D6075">
        <v>21</v>
      </c>
      <c r="E6075" t="s">
        <v>15</v>
      </c>
      <c r="F6075" t="s">
        <v>13814</v>
      </c>
      <c r="G6075">
        <v>1</v>
      </c>
      <c r="H6075" t="s">
        <v>562</v>
      </c>
      <c r="I6075" t="s">
        <v>647</v>
      </c>
      <c r="J6075" t="s">
        <v>563</v>
      </c>
      <c r="K6075" t="s">
        <v>20</v>
      </c>
      <c r="L6075" t="s">
        <v>13815</v>
      </c>
      <c r="M6075" s="3" t="str">
        <f>HYPERLINK("..\..\Imagery\ScannedPhotos\1995\VN95-138cropped.jpg")</f>
        <v>..\..\Imagery\ScannedPhotos\1995\VN95-138cropped.jpg</v>
      </c>
      <c r="N6075" t="s">
        <v>4297</v>
      </c>
    </row>
    <row r="6076" spans="1:14" x14ac:dyDescent="0.25">
      <c r="A6076" t="s">
        <v>13816</v>
      </c>
      <c r="B6076">
        <v>414154</v>
      </c>
      <c r="C6076">
        <v>5904014</v>
      </c>
      <c r="D6076">
        <v>21</v>
      </c>
      <c r="E6076" t="s">
        <v>15</v>
      </c>
      <c r="F6076" t="s">
        <v>13817</v>
      </c>
      <c r="G6076">
        <v>1</v>
      </c>
      <c r="H6076" t="s">
        <v>754</v>
      </c>
      <c r="I6076" t="s">
        <v>209</v>
      </c>
      <c r="J6076" t="s">
        <v>563</v>
      </c>
      <c r="K6076" t="s">
        <v>20</v>
      </c>
      <c r="L6076" t="s">
        <v>13818</v>
      </c>
      <c r="M6076" s="3" t="str">
        <f>HYPERLINK("..\..\Imagery\ScannedPhotos\1995\CG95-057E.jpg")</f>
        <v>..\..\Imagery\ScannedPhotos\1995\CG95-057E.jpg</v>
      </c>
      <c r="N6076" t="s">
        <v>1808</v>
      </c>
    </row>
    <row r="6077" spans="1:14" x14ac:dyDescent="0.25">
      <c r="A6077" t="s">
        <v>13819</v>
      </c>
      <c r="B6077">
        <v>387974</v>
      </c>
      <c r="C6077">
        <v>5921688</v>
      </c>
      <c r="D6077">
        <v>21</v>
      </c>
      <c r="E6077" t="s">
        <v>15</v>
      </c>
      <c r="F6077" t="s">
        <v>13820</v>
      </c>
      <c r="G6077">
        <v>2</v>
      </c>
      <c r="H6077" t="s">
        <v>1826</v>
      </c>
      <c r="I6077" t="s">
        <v>294</v>
      </c>
      <c r="J6077" t="s">
        <v>557</v>
      </c>
      <c r="K6077" t="s">
        <v>228</v>
      </c>
      <c r="L6077" t="s">
        <v>13821</v>
      </c>
      <c r="M6077" s="3" t="str">
        <f>HYPERLINK("..\..\Imagery\ScannedPhotos\1995\CG95-128.1E.jpg")</f>
        <v>..\..\Imagery\ScannedPhotos\1995\CG95-128.1E.jpg</v>
      </c>
      <c r="N6077" t="s">
        <v>1808</v>
      </c>
    </row>
    <row r="6078" spans="1:14" x14ac:dyDescent="0.25">
      <c r="A6078" t="s">
        <v>13819</v>
      </c>
      <c r="B6078">
        <v>387974</v>
      </c>
      <c r="C6078">
        <v>5921688</v>
      </c>
      <c r="D6078">
        <v>21</v>
      </c>
      <c r="E6078" t="s">
        <v>15</v>
      </c>
      <c r="F6078" t="s">
        <v>13822</v>
      </c>
      <c r="G6078">
        <v>2</v>
      </c>
      <c r="H6078" t="s">
        <v>1826</v>
      </c>
      <c r="I6078" t="s">
        <v>79</v>
      </c>
      <c r="J6078" t="s">
        <v>557</v>
      </c>
      <c r="K6078" t="s">
        <v>228</v>
      </c>
      <c r="L6078" t="s">
        <v>13823</v>
      </c>
      <c r="M6078" s="3" t="str">
        <f>HYPERLINK("..\..\Imagery\ScannedPhotos\1995\CG95-128.2E.jpg")</f>
        <v>..\..\Imagery\ScannedPhotos\1995\CG95-128.2E.jpg</v>
      </c>
      <c r="N6078" t="s">
        <v>1808</v>
      </c>
    </row>
    <row r="6079" spans="1:14" x14ac:dyDescent="0.25">
      <c r="A6079" t="s">
        <v>8492</v>
      </c>
      <c r="B6079">
        <v>369776</v>
      </c>
      <c r="C6079">
        <v>5904013</v>
      </c>
      <c r="D6079">
        <v>21</v>
      </c>
      <c r="E6079" t="s">
        <v>15</v>
      </c>
      <c r="F6079" t="s">
        <v>13824</v>
      </c>
      <c r="G6079">
        <v>2</v>
      </c>
      <c r="H6079" t="s">
        <v>770</v>
      </c>
      <c r="I6079" t="s">
        <v>360</v>
      </c>
      <c r="J6079" t="s">
        <v>771</v>
      </c>
      <c r="K6079" t="s">
        <v>20</v>
      </c>
      <c r="L6079" t="s">
        <v>13825</v>
      </c>
      <c r="M6079" s="3" t="str">
        <f>HYPERLINK("..\..\Imagery\ScannedPhotos\1995\CG95-154.2E.jpg")</f>
        <v>..\..\Imagery\ScannedPhotos\1995\CG95-154.2E.jpg</v>
      </c>
      <c r="N6079" t="s">
        <v>1808</v>
      </c>
    </row>
    <row r="6080" spans="1:14" x14ac:dyDescent="0.25">
      <c r="A6080" t="s">
        <v>7815</v>
      </c>
      <c r="B6080">
        <v>389688</v>
      </c>
      <c r="C6080">
        <v>5911086</v>
      </c>
      <c r="D6080">
        <v>21</v>
      </c>
      <c r="E6080" t="s">
        <v>15</v>
      </c>
      <c r="F6080" t="s">
        <v>13826</v>
      </c>
      <c r="G6080">
        <v>4</v>
      </c>
      <c r="H6080" t="s">
        <v>1826</v>
      </c>
      <c r="I6080" t="s">
        <v>217</v>
      </c>
      <c r="J6080" t="s">
        <v>557</v>
      </c>
      <c r="K6080" t="s">
        <v>20</v>
      </c>
      <c r="L6080" t="s">
        <v>13827</v>
      </c>
      <c r="M6080" s="3" t="str">
        <f>HYPERLINK("..\..\Imagery\ScannedPhotos\1995\CG95-161.1E.jpg")</f>
        <v>..\..\Imagery\ScannedPhotos\1995\CG95-161.1E.jpg</v>
      </c>
      <c r="N6080" t="s">
        <v>1808</v>
      </c>
    </row>
    <row r="6081" spans="1:14" x14ac:dyDescent="0.25">
      <c r="A6081" t="s">
        <v>7815</v>
      </c>
      <c r="B6081">
        <v>389688</v>
      </c>
      <c r="C6081">
        <v>5911086</v>
      </c>
      <c r="D6081">
        <v>21</v>
      </c>
      <c r="E6081" t="s">
        <v>15</v>
      </c>
      <c r="F6081" t="s">
        <v>13828</v>
      </c>
      <c r="G6081">
        <v>4</v>
      </c>
      <c r="H6081" t="s">
        <v>1826</v>
      </c>
      <c r="I6081" t="s">
        <v>214</v>
      </c>
      <c r="J6081" t="s">
        <v>557</v>
      </c>
      <c r="K6081" t="s">
        <v>20</v>
      </c>
      <c r="L6081" t="s">
        <v>13827</v>
      </c>
      <c r="M6081" s="3" t="str">
        <f>HYPERLINK("..\..\Imagery\ScannedPhotos\1995\CG95-161.2E.jpg")</f>
        <v>..\..\Imagery\ScannedPhotos\1995\CG95-161.2E.jpg</v>
      </c>
      <c r="N6081" t="s">
        <v>1808</v>
      </c>
    </row>
    <row r="6082" spans="1:14" x14ac:dyDescent="0.25">
      <c r="A6082" t="s">
        <v>1824</v>
      </c>
      <c r="B6082">
        <v>370307</v>
      </c>
      <c r="C6082">
        <v>5889007</v>
      </c>
      <c r="D6082">
        <v>21</v>
      </c>
      <c r="E6082" t="s">
        <v>15</v>
      </c>
      <c r="F6082" t="s">
        <v>13829</v>
      </c>
      <c r="G6082">
        <v>4</v>
      </c>
      <c r="H6082" t="s">
        <v>1826</v>
      </c>
      <c r="I6082" t="s">
        <v>129</v>
      </c>
      <c r="J6082" t="s">
        <v>557</v>
      </c>
      <c r="K6082" t="s">
        <v>109</v>
      </c>
      <c r="L6082" t="s">
        <v>13830</v>
      </c>
      <c r="M6082" s="3" t="str">
        <f>HYPERLINK("..\..\Imagery\ScannedPhotos\1995\CG95-206.3E.jpg")</f>
        <v>..\..\Imagery\ScannedPhotos\1995\CG95-206.3E.jpg</v>
      </c>
      <c r="N6082" t="s">
        <v>1808</v>
      </c>
    </row>
    <row r="6083" spans="1:14" x14ac:dyDescent="0.25">
      <c r="A6083" t="s">
        <v>1824</v>
      </c>
      <c r="B6083">
        <v>370307</v>
      </c>
      <c r="C6083">
        <v>5889007</v>
      </c>
      <c r="D6083">
        <v>21</v>
      </c>
      <c r="E6083" t="s">
        <v>15</v>
      </c>
      <c r="F6083" t="s">
        <v>13831</v>
      </c>
      <c r="G6083">
        <v>4</v>
      </c>
      <c r="H6083" t="s">
        <v>1826</v>
      </c>
      <c r="I6083" t="s">
        <v>143</v>
      </c>
      <c r="J6083" t="s">
        <v>557</v>
      </c>
      <c r="K6083" t="s">
        <v>109</v>
      </c>
      <c r="L6083" t="s">
        <v>13832</v>
      </c>
      <c r="M6083" s="3" t="str">
        <f>HYPERLINK("..\..\Imagery\ScannedPhotos\1995\CG95-206.4E.jpg")</f>
        <v>..\..\Imagery\ScannedPhotos\1995\CG95-206.4E.jpg</v>
      </c>
      <c r="N6083" t="s">
        <v>1808</v>
      </c>
    </row>
    <row r="6084" spans="1:14" x14ac:dyDescent="0.25">
      <c r="A6084" t="s">
        <v>13833</v>
      </c>
      <c r="B6084">
        <v>385728</v>
      </c>
      <c r="C6084">
        <v>5923932</v>
      </c>
      <c r="D6084">
        <v>21</v>
      </c>
      <c r="E6084" t="s">
        <v>15</v>
      </c>
      <c r="F6084" t="s">
        <v>13834</v>
      </c>
      <c r="G6084">
        <v>2</v>
      </c>
      <c r="H6084" t="s">
        <v>1826</v>
      </c>
      <c r="I6084" t="s">
        <v>47</v>
      </c>
      <c r="J6084" t="s">
        <v>557</v>
      </c>
      <c r="K6084" t="s">
        <v>935</v>
      </c>
      <c r="L6084" t="s">
        <v>13835</v>
      </c>
      <c r="M6084" s="3" t="str">
        <f>HYPERLINK("..\..\Imagery\ScannedPhotos\1995\CG95-214.1E.jpg")</f>
        <v>..\..\Imagery\ScannedPhotos\1995\CG95-214.1E.jpg</v>
      </c>
      <c r="N6084" t="s">
        <v>1808</v>
      </c>
    </row>
    <row r="6085" spans="1:14" x14ac:dyDescent="0.25">
      <c r="A6085" t="s">
        <v>13833</v>
      </c>
      <c r="B6085">
        <v>385728</v>
      </c>
      <c r="C6085">
        <v>5923932</v>
      </c>
      <c r="D6085">
        <v>21</v>
      </c>
      <c r="E6085" t="s">
        <v>15</v>
      </c>
      <c r="F6085" t="s">
        <v>13836</v>
      </c>
      <c r="G6085">
        <v>2</v>
      </c>
      <c r="H6085" t="s">
        <v>1826</v>
      </c>
      <c r="I6085" t="s">
        <v>52</v>
      </c>
      <c r="J6085" t="s">
        <v>557</v>
      </c>
      <c r="K6085" t="s">
        <v>935</v>
      </c>
      <c r="L6085" t="s">
        <v>13837</v>
      </c>
      <c r="M6085" s="3" t="str">
        <f>HYPERLINK("..\..\Imagery\ScannedPhotos\1995\CG95-214.2E.jpg")</f>
        <v>..\..\Imagery\ScannedPhotos\1995\CG95-214.2E.jpg</v>
      </c>
      <c r="N6085" t="s">
        <v>1808</v>
      </c>
    </row>
    <row r="6086" spans="1:14" x14ac:dyDescent="0.25">
      <c r="A6086" t="s">
        <v>752</v>
      </c>
      <c r="B6086">
        <v>362230</v>
      </c>
      <c r="C6086">
        <v>5899320</v>
      </c>
      <c r="D6086">
        <v>21</v>
      </c>
      <c r="E6086" t="s">
        <v>15</v>
      </c>
      <c r="F6086" t="s">
        <v>13838</v>
      </c>
      <c r="G6086">
        <v>5</v>
      </c>
      <c r="H6086" t="s">
        <v>754</v>
      </c>
      <c r="I6086" t="s">
        <v>126</v>
      </c>
      <c r="J6086" t="s">
        <v>563</v>
      </c>
      <c r="K6086" t="s">
        <v>535</v>
      </c>
      <c r="L6086" t="s">
        <v>13839</v>
      </c>
      <c r="M6086" s="3" t="str">
        <f>HYPERLINK("..\..\Imagery\ScannedPhotos\1995\GN95-581.1E.jpg")</f>
        <v>..\..\Imagery\ScannedPhotos\1995\GN95-581.1E.jpg</v>
      </c>
      <c r="N6086" t="s">
        <v>1808</v>
      </c>
    </row>
    <row r="6087" spans="1:14" x14ac:dyDescent="0.25">
      <c r="A6087" t="s">
        <v>752</v>
      </c>
      <c r="B6087">
        <v>362230</v>
      </c>
      <c r="C6087">
        <v>5899320</v>
      </c>
      <c r="D6087">
        <v>21</v>
      </c>
      <c r="E6087" t="s">
        <v>15</v>
      </c>
      <c r="F6087" t="s">
        <v>13840</v>
      </c>
      <c r="G6087">
        <v>5</v>
      </c>
      <c r="H6087" t="s">
        <v>754</v>
      </c>
      <c r="I6087" t="s">
        <v>108</v>
      </c>
      <c r="J6087" t="s">
        <v>563</v>
      </c>
      <c r="K6087" t="s">
        <v>535</v>
      </c>
      <c r="L6087" t="s">
        <v>13841</v>
      </c>
      <c r="M6087" s="3" t="str">
        <f>HYPERLINK("..\..\Imagery\ScannedPhotos\1995\GN95-581.2E.jpg")</f>
        <v>..\..\Imagery\ScannedPhotos\1995\GN95-581.2E.jpg</v>
      </c>
      <c r="N6087" t="s">
        <v>1808</v>
      </c>
    </row>
    <row r="6088" spans="1:14" x14ac:dyDescent="0.25">
      <c r="A6088" t="s">
        <v>752</v>
      </c>
      <c r="B6088">
        <v>362230</v>
      </c>
      <c r="C6088">
        <v>5899320</v>
      </c>
      <c r="D6088">
        <v>21</v>
      </c>
      <c r="E6088" t="s">
        <v>15</v>
      </c>
      <c r="F6088" t="s">
        <v>13842</v>
      </c>
      <c r="G6088">
        <v>5</v>
      </c>
      <c r="H6088" t="s">
        <v>754</v>
      </c>
      <c r="I6088" t="s">
        <v>132</v>
      </c>
      <c r="J6088" t="s">
        <v>563</v>
      </c>
      <c r="K6088" t="s">
        <v>535</v>
      </c>
      <c r="L6088" t="s">
        <v>13843</v>
      </c>
      <c r="M6088" s="3" t="str">
        <f>HYPERLINK("..\..\Imagery\ScannedPhotos\1995\GN95-581.3E.jpg")</f>
        <v>..\..\Imagery\ScannedPhotos\1995\GN95-581.3E.jpg</v>
      </c>
      <c r="N6088" t="s">
        <v>1808</v>
      </c>
    </row>
    <row r="6089" spans="1:14" x14ac:dyDescent="0.25">
      <c r="A6089" t="s">
        <v>752</v>
      </c>
      <c r="B6089">
        <v>362230</v>
      </c>
      <c r="C6089">
        <v>5899320</v>
      </c>
      <c r="D6089">
        <v>21</v>
      </c>
      <c r="E6089" t="s">
        <v>15</v>
      </c>
      <c r="F6089" t="s">
        <v>13844</v>
      </c>
      <c r="G6089">
        <v>5</v>
      </c>
      <c r="H6089" t="s">
        <v>754</v>
      </c>
      <c r="I6089" t="s">
        <v>129</v>
      </c>
      <c r="J6089" t="s">
        <v>563</v>
      </c>
      <c r="K6089" t="s">
        <v>535</v>
      </c>
      <c r="L6089" t="s">
        <v>13845</v>
      </c>
      <c r="M6089" s="3" t="str">
        <f>HYPERLINK("..\..\Imagery\ScannedPhotos\1995\GN95-581.4E.jpg")</f>
        <v>..\..\Imagery\ScannedPhotos\1995\GN95-581.4E.jpg</v>
      </c>
      <c r="N6089" t="s">
        <v>1808</v>
      </c>
    </row>
    <row r="6090" spans="1:14" x14ac:dyDescent="0.25">
      <c r="A6090" t="s">
        <v>11946</v>
      </c>
      <c r="B6090">
        <v>422025</v>
      </c>
      <c r="C6090">
        <v>5858075</v>
      </c>
      <c r="D6090">
        <v>21</v>
      </c>
      <c r="E6090" t="s">
        <v>15</v>
      </c>
      <c r="F6090" t="s">
        <v>13846</v>
      </c>
      <c r="G6090">
        <v>2</v>
      </c>
      <c r="H6090" t="s">
        <v>766</v>
      </c>
      <c r="I6090" t="s">
        <v>65</v>
      </c>
      <c r="J6090" t="s">
        <v>767</v>
      </c>
      <c r="K6090" t="s">
        <v>20</v>
      </c>
      <c r="L6090" t="s">
        <v>13847</v>
      </c>
      <c r="M6090" s="3" t="str">
        <f>HYPERLINK("..\..\Imagery\ScannedPhotos\1997\CG97-061.2cropped.jpg")</f>
        <v>..\..\Imagery\ScannedPhotos\1997\CG97-061.2cropped.jpg</v>
      </c>
      <c r="N6090" t="s">
        <v>4297</v>
      </c>
    </row>
    <row r="6091" spans="1:14" x14ac:dyDescent="0.25">
      <c r="A6091" t="s">
        <v>9842</v>
      </c>
      <c r="B6091">
        <v>389799</v>
      </c>
      <c r="C6091">
        <v>5845171</v>
      </c>
      <c r="D6091">
        <v>21</v>
      </c>
      <c r="E6091" t="s">
        <v>15</v>
      </c>
      <c r="F6091" t="s">
        <v>13848</v>
      </c>
      <c r="G6091">
        <v>4</v>
      </c>
      <c r="H6091" t="s">
        <v>770</v>
      </c>
      <c r="I6091" t="s">
        <v>18</v>
      </c>
      <c r="J6091" t="s">
        <v>771</v>
      </c>
      <c r="K6091" t="s">
        <v>20</v>
      </c>
      <c r="L6091" t="s">
        <v>2230</v>
      </c>
      <c r="M6091" s="3" t="str">
        <f>HYPERLINK("..\..\Imagery\ScannedPhotos\1997\CG97-300.2cropped.jpg")</f>
        <v>..\..\Imagery\ScannedPhotos\1997\CG97-300.2cropped.jpg</v>
      </c>
      <c r="N6091" t="s">
        <v>4297</v>
      </c>
    </row>
    <row r="6092" spans="1:14" x14ac:dyDescent="0.25">
      <c r="A6092" t="s">
        <v>12829</v>
      </c>
      <c r="B6092">
        <v>428640</v>
      </c>
      <c r="C6092">
        <v>5863389</v>
      </c>
      <c r="D6092">
        <v>21</v>
      </c>
      <c r="E6092" t="s">
        <v>15</v>
      </c>
      <c r="F6092" t="s">
        <v>13849</v>
      </c>
      <c r="G6092">
        <v>2</v>
      </c>
      <c r="H6092" t="s">
        <v>1913</v>
      </c>
      <c r="I6092" t="s">
        <v>195</v>
      </c>
      <c r="J6092" t="s">
        <v>771</v>
      </c>
      <c r="K6092" t="s">
        <v>228</v>
      </c>
      <c r="L6092" t="s">
        <v>12831</v>
      </c>
      <c r="M6092" s="3" t="str">
        <f>HYPERLINK("..\..\Imagery\ScannedPhotos\1997\CG97-057.2E.jpg")</f>
        <v>..\..\Imagery\ScannedPhotos\1997\CG97-057.2E.jpg</v>
      </c>
      <c r="N6092" t="s">
        <v>1808</v>
      </c>
    </row>
    <row r="6093" spans="1:14" x14ac:dyDescent="0.25">
      <c r="A6093" t="s">
        <v>13850</v>
      </c>
      <c r="B6093">
        <v>401886</v>
      </c>
      <c r="C6093">
        <v>5868941</v>
      </c>
      <c r="D6093">
        <v>21</v>
      </c>
      <c r="E6093" t="s">
        <v>15</v>
      </c>
      <c r="F6093" t="s">
        <v>13851</v>
      </c>
      <c r="G6093">
        <v>1</v>
      </c>
      <c r="H6093" t="s">
        <v>775</v>
      </c>
      <c r="I6093" t="s">
        <v>74</v>
      </c>
      <c r="J6093" t="s">
        <v>771</v>
      </c>
      <c r="K6093" t="s">
        <v>228</v>
      </c>
      <c r="L6093" t="s">
        <v>13852</v>
      </c>
      <c r="M6093" s="3" t="str">
        <f>HYPERLINK("..\..\Imagery\ScannedPhotos\1997\CG97-091E.jpg")</f>
        <v>..\..\Imagery\ScannedPhotos\1997\CG97-091E.jpg</v>
      </c>
      <c r="N6093" t="s">
        <v>1808</v>
      </c>
    </row>
    <row r="6094" spans="1:14" x14ac:dyDescent="0.25">
      <c r="A6094" t="s">
        <v>13853</v>
      </c>
      <c r="B6094">
        <v>404097</v>
      </c>
      <c r="C6094">
        <v>5869431</v>
      </c>
      <c r="D6094">
        <v>21</v>
      </c>
      <c r="E6094" t="s">
        <v>15</v>
      </c>
      <c r="F6094" t="s">
        <v>13854</v>
      </c>
      <c r="G6094">
        <v>1</v>
      </c>
      <c r="H6094" t="s">
        <v>1913</v>
      </c>
      <c r="I6094" t="s">
        <v>69</v>
      </c>
      <c r="J6094" t="s">
        <v>771</v>
      </c>
      <c r="K6094" t="s">
        <v>228</v>
      </c>
      <c r="L6094" t="s">
        <v>13855</v>
      </c>
      <c r="M6094" s="3" t="str">
        <f>HYPERLINK("..\..\Imagery\ScannedPhotos\1997\CG97-093E.jpg")</f>
        <v>..\..\Imagery\ScannedPhotos\1997\CG97-093E.jpg</v>
      </c>
      <c r="N6094" t="s">
        <v>1808</v>
      </c>
    </row>
    <row r="6095" spans="1:14" x14ac:dyDescent="0.25">
      <c r="A6095" t="s">
        <v>13856</v>
      </c>
      <c r="B6095">
        <v>407331</v>
      </c>
      <c r="C6095">
        <v>5870520</v>
      </c>
      <c r="D6095">
        <v>21</v>
      </c>
      <c r="E6095" t="s">
        <v>15</v>
      </c>
      <c r="F6095" t="s">
        <v>13857</v>
      </c>
      <c r="G6095">
        <v>1</v>
      </c>
      <c r="H6095" t="s">
        <v>1913</v>
      </c>
      <c r="I6095" t="s">
        <v>85</v>
      </c>
      <c r="J6095" t="s">
        <v>771</v>
      </c>
      <c r="K6095" t="s">
        <v>228</v>
      </c>
      <c r="L6095" t="s">
        <v>13858</v>
      </c>
      <c r="M6095" s="3" t="str">
        <f>HYPERLINK("..\..\Imagery\ScannedPhotos\1997\CG97-095E.jpg")</f>
        <v>..\..\Imagery\ScannedPhotos\1997\CG97-095E.jpg</v>
      </c>
      <c r="N6095" t="s">
        <v>1808</v>
      </c>
    </row>
    <row r="6096" spans="1:14" x14ac:dyDescent="0.25">
      <c r="A6096" t="s">
        <v>5978</v>
      </c>
      <c r="B6096">
        <v>383651</v>
      </c>
      <c r="C6096">
        <v>5861600</v>
      </c>
      <c r="D6096">
        <v>21</v>
      </c>
      <c r="E6096" t="s">
        <v>15</v>
      </c>
      <c r="F6096" t="s">
        <v>13859</v>
      </c>
      <c r="G6096">
        <v>2</v>
      </c>
      <c r="H6096" t="s">
        <v>1397</v>
      </c>
      <c r="I6096" t="s">
        <v>79</v>
      </c>
      <c r="J6096" t="s">
        <v>771</v>
      </c>
      <c r="K6096" t="s">
        <v>228</v>
      </c>
      <c r="L6096" t="s">
        <v>13852</v>
      </c>
      <c r="M6096" s="3" t="str">
        <f>HYPERLINK("..\..\Imagery\ScannedPhotos\1997\CG97-112.2E.jpg")</f>
        <v>..\..\Imagery\ScannedPhotos\1997\CG97-112.2E.jpg</v>
      </c>
      <c r="N6096" t="s">
        <v>1808</v>
      </c>
    </row>
    <row r="6097" spans="1:14" x14ac:dyDescent="0.25">
      <c r="A6097" t="s">
        <v>13860</v>
      </c>
      <c r="B6097">
        <v>402227</v>
      </c>
      <c r="C6097">
        <v>5844637</v>
      </c>
      <c r="D6097">
        <v>21</v>
      </c>
      <c r="E6097" t="s">
        <v>15</v>
      </c>
      <c r="F6097" t="s">
        <v>13861</v>
      </c>
      <c r="G6097">
        <v>1</v>
      </c>
      <c r="H6097" t="s">
        <v>1397</v>
      </c>
      <c r="I6097" t="s">
        <v>18</v>
      </c>
      <c r="J6097" t="s">
        <v>771</v>
      </c>
      <c r="K6097" t="s">
        <v>228</v>
      </c>
      <c r="L6097" t="s">
        <v>13862</v>
      </c>
      <c r="M6097" s="3" t="str">
        <f>HYPERLINK("..\..\Imagery\ScannedPhotos\1997\CG97-157E.jpg")</f>
        <v>..\..\Imagery\ScannedPhotos\1997\CG97-157E.jpg</v>
      </c>
      <c r="N6097" t="s">
        <v>1808</v>
      </c>
    </row>
    <row r="6098" spans="1:14" x14ac:dyDescent="0.25">
      <c r="A6098" t="s">
        <v>13863</v>
      </c>
      <c r="B6098">
        <v>420927</v>
      </c>
      <c r="C6098">
        <v>5835244</v>
      </c>
      <c r="D6098">
        <v>21</v>
      </c>
      <c r="E6098" t="s">
        <v>15</v>
      </c>
      <c r="F6098" t="s">
        <v>13864</v>
      </c>
      <c r="G6098">
        <v>1</v>
      </c>
      <c r="H6098" t="s">
        <v>1397</v>
      </c>
      <c r="I6098" t="s">
        <v>222</v>
      </c>
      <c r="J6098" t="s">
        <v>771</v>
      </c>
      <c r="K6098" t="s">
        <v>228</v>
      </c>
      <c r="L6098" t="s">
        <v>13865</v>
      </c>
      <c r="M6098" s="3" t="str">
        <f>HYPERLINK("..\..\Imagery\ScannedPhotos\1997\CG97-166E.jpg")</f>
        <v>..\..\Imagery\ScannedPhotos\1997\CG97-166E.jpg</v>
      </c>
      <c r="N6098" t="s">
        <v>1808</v>
      </c>
    </row>
    <row r="6099" spans="1:14" x14ac:dyDescent="0.25">
      <c r="A6099" t="s">
        <v>8856</v>
      </c>
      <c r="B6099">
        <v>387800</v>
      </c>
      <c r="C6099">
        <v>5845340</v>
      </c>
      <c r="D6099">
        <v>21</v>
      </c>
      <c r="E6099" t="s">
        <v>15</v>
      </c>
      <c r="F6099" t="s">
        <v>13866</v>
      </c>
      <c r="G6099">
        <v>2</v>
      </c>
      <c r="H6099" t="s">
        <v>775</v>
      </c>
      <c r="I6099" t="s">
        <v>375</v>
      </c>
      <c r="J6099" t="s">
        <v>771</v>
      </c>
      <c r="K6099" t="s">
        <v>228</v>
      </c>
      <c r="L6099" t="s">
        <v>13867</v>
      </c>
      <c r="M6099" s="3" t="str">
        <f>HYPERLINK("..\..\Imagery\ScannedPhotos\1997\CG97-187.2E.jpg")</f>
        <v>..\..\Imagery\ScannedPhotos\1997\CG97-187.2E.jpg</v>
      </c>
      <c r="N6099" t="s">
        <v>1808</v>
      </c>
    </row>
    <row r="6100" spans="1:14" x14ac:dyDescent="0.25">
      <c r="A6100" t="s">
        <v>12489</v>
      </c>
      <c r="B6100">
        <v>356400</v>
      </c>
      <c r="C6100">
        <v>5845000</v>
      </c>
      <c r="D6100">
        <v>21</v>
      </c>
      <c r="E6100" t="s">
        <v>15</v>
      </c>
      <c r="F6100" t="s">
        <v>13868</v>
      </c>
      <c r="G6100">
        <v>2</v>
      </c>
      <c r="H6100" t="s">
        <v>259</v>
      </c>
      <c r="I6100" t="s">
        <v>114</v>
      </c>
      <c r="J6100" t="s">
        <v>260</v>
      </c>
      <c r="K6100" t="s">
        <v>20</v>
      </c>
      <c r="L6100" t="s">
        <v>12491</v>
      </c>
      <c r="M6100" s="3" t="str">
        <f>HYPERLINK("..\..\Imagery\ScannedPhotos\1998\CG98-119.1cropped.jpg")</f>
        <v>..\..\Imagery\ScannedPhotos\1998\CG98-119.1cropped.jpg</v>
      </c>
      <c r="N6100" t="s">
        <v>4297</v>
      </c>
    </row>
    <row r="6101" spans="1:14" x14ac:dyDescent="0.25">
      <c r="A6101" t="s">
        <v>12229</v>
      </c>
      <c r="B6101">
        <v>344444</v>
      </c>
      <c r="C6101">
        <v>5836488</v>
      </c>
      <c r="D6101">
        <v>21</v>
      </c>
      <c r="E6101" t="s">
        <v>15</v>
      </c>
      <c r="F6101" t="s">
        <v>13869</v>
      </c>
      <c r="G6101">
        <v>4</v>
      </c>
      <c r="H6101" t="s">
        <v>259</v>
      </c>
      <c r="I6101" t="s">
        <v>108</v>
      </c>
      <c r="J6101" t="s">
        <v>260</v>
      </c>
      <c r="K6101" t="s">
        <v>20</v>
      </c>
      <c r="L6101" t="s">
        <v>13870</v>
      </c>
      <c r="M6101" s="3" t="str">
        <f>HYPERLINK("..\..\Imagery\ScannedPhotos\1998\CG98-128.1cropped.jpg")</f>
        <v>..\..\Imagery\ScannedPhotos\1998\CG98-128.1cropped.jpg</v>
      </c>
      <c r="N6101" t="s">
        <v>4297</v>
      </c>
    </row>
    <row r="6102" spans="1:14" x14ac:dyDescent="0.25">
      <c r="A6102" t="s">
        <v>13871</v>
      </c>
      <c r="B6102">
        <v>334380</v>
      </c>
      <c r="C6102">
        <v>5836820</v>
      </c>
      <c r="D6102">
        <v>21</v>
      </c>
      <c r="E6102" t="s">
        <v>15</v>
      </c>
      <c r="F6102" t="s">
        <v>13872</v>
      </c>
      <c r="G6102">
        <v>1</v>
      </c>
      <c r="H6102" t="s">
        <v>7363</v>
      </c>
      <c r="I6102" t="s">
        <v>281</v>
      </c>
      <c r="J6102" t="s">
        <v>7364</v>
      </c>
      <c r="K6102" t="s">
        <v>20</v>
      </c>
      <c r="L6102" t="s">
        <v>13873</v>
      </c>
      <c r="M6102" s="3" t="str">
        <f>HYPERLINK("..\..\Imagery\ScannedPhotos\1998\CG98-301cropped.jpg")</f>
        <v>..\..\Imagery\ScannedPhotos\1998\CG98-301cropped.jpg</v>
      </c>
      <c r="N6102" t="s">
        <v>4297</v>
      </c>
    </row>
    <row r="6103" spans="1:14" x14ac:dyDescent="0.25">
      <c r="A6103" t="s">
        <v>9634</v>
      </c>
      <c r="B6103">
        <v>308234</v>
      </c>
      <c r="C6103">
        <v>5872409</v>
      </c>
      <c r="D6103">
        <v>21</v>
      </c>
      <c r="E6103" t="s">
        <v>15</v>
      </c>
      <c r="F6103" t="s">
        <v>13874</v>
      </c>
      <c r="G6103">
        <v>3</v>
      </c>
      <c r="H6103" t="s">
        <v>7363</v>
      </c>
      <c r="I6103" t="s">
        <v>18</v>
      </c>
      <c r="J6103" t="s">
        <v>7364</v>
      </c>
      <c r="K6103" t="s">
        <v>228</v>
      </c>
      <c r="L6103" t="s">
        <v>13875</v>
      </c>
      <c r="M6103" s="3" t="str">
        <f>HYPERLINK("..\..\Imagery\ScannedPhotos\1998\CG98-003.2E.jpg")</f>
        <v>..\..\Imagery\ScannedPhotos\1998\CG98-003.2E.jpg</v>
      </c>
      <c r="N6103" t="s">
        <v>1808</v>
      </c>
    </row>
    <row r="6104" spans="1:14" x14ac:dyDescent="0.25">
      <c r="A6104" t="s">
        <v>13876</v>
      </c>
      <c r="B6104">
        <v>317295</v>
      </c>
      <c r="C6104">
        <v>5860669</v>
      </c>
      <c r="D6104">
        <v>21</v>
      </c>
      <c r="E6104" t="s">
        <v>15</v>
      </c>
      <c r="F6104" t="s">
        <v>13877</v>
      </c>
      <c r="G6104">
        <v>1</v>
      </c>
      <c r="H6104" t="s">
        <v>5833</v>
      </c>
      <c r="I6104" t="s">
        <v>386</v>
      </c>
      <c r="J6104" t="s">
        <v>260</v>
      </c>
      <c r="K6104" t="s">
        <v>228</v>
      </c>
      <c r="L6104" t="s">
        <v>13878</v>
      </c>
      <c r="M6104" s="3" t="str">
        <f>HYPERLINK("..\..\Imagery\ScannedPhotos\1998\CG98-113E.jpg")</f>
        <v>..\..\Imagery\ScannedPhotos\1998\CG98-113E.jpg</v>
      </c>
      <c r="N6104" t="s">
        <v>1808</v>
      </c>
    </row>
    <row r="6105" spans="1:14" x14ac:dyDescent="0.25">
      <c r="A6105" t="s">
        <v>13879</v>
      </c>
      <c r="B6105">
        <v>325621</v>
      </c>
      <c r="C6105">
        <v>5857234</v>
      </c>
      <c r="D6105">
        <v>21</v>
      </c>
      <c r="E6105" t="s">
        <v>15</v>
      </c>
      <c r="F6105" t="s">
        <v>13880</v>
      </c>
      <c r="G6105">
        <v>1</v>
      </c>
      <c r="H6105" t="s">
        <v>5833</v>
      </c>
      <c r="I6105" t="s">
        <v>217</v>
      </c>
      <c r="J6105" t="s">
        <v>260</v>
      </c>
      <c r="K6105" t="s">
        <v>228</v>
      </c>
      <c r="L6105" t="s">
        <v>13881</v>
      </c>
      <c r="M6105" s="3" t="str">
        <f>HYPERLINK("..\..\Imagery\ScannedPhotos\1998\CG98-152E.jpg")</f>
        <v>..\..\Imagery\ScannedPhotos\1998\CG98-152E.jpg</v>
      </c>
      <c r="N6105" t="s">
        <v>1808</v>
      </c>
    </row>
    <row r="6106" spans="1:14" x14ac:dyDescent="0.25">
      <c r="A6106" t="s">
        <v>11529</v>
      </c>
      <c r="B6106">
        <v>358563</v>
      </c>
      <c r="C6106">
        <v>5840394</v>
      </c>
      <c r="D6106">
        <v>21</v>
      </c>
      <c r="E6106" t="s">
        <v>15</v>
      </c>
      <c r="F6106" t="s">
        <v>13882</v>
      </c>
      <c r="G6106">
        <v>3</v>
      </c>
      <c r="H6106" t="s">
        <v>5833</v>
      </c>
      <c r="I6106" t="s">
        <v>79</v>
      </c>
      <c r="J6106" t="s">
        <v>260</v>
      </c>
      <c r="K6106" t="s">
        <v>56</v>
      </c>
      <c r="L6106" t="s">
        <v>1222</v>
      </c>
      <c r="M6106" s="3" t="str">
        <f>HYPERLINK("..\..\Imagery\ScannedPhotos\1998\CG98-163.1E.jpg")</f>
        <v>..\..\Imagery\ScannedPhotos\1998\CG98-163.1E.jpg</v>
      </c>
      <c r="N6106" t="s">
        <v>1808</v>
      </c>
    </row>
    <row r="6107" spans="1:14" x14ac:dyDescent="0.25">
      <c r="A6107" t="s">
        <v>7417</v>
      </c>
      <c r="B6107">
        <v>344843</v>
      </c>
      <c r="C6107">
        <v>5852094</v>
      </c>
      <c r="D6107">
        <v>21</v>
      </c>
      <c r="E6107" t="s">
        <v>15</v>
      </c>
      <c r="F6107" t="s">
        <v>13883</v>
      </c>
      <c r="G6107">
        <v>6</v>
      </c>
      <c r="H6107" t="s">
        <v>5833</v>
      </c>
      <c r="I6107" t="s">
        <v>418</v>
      </c>
      <c r="J6107" t="s">
        <v>260</v>
      </c>
      <c r="K6107" t="s">
        <v>56</v>
      </c>
      <c r="L6107" t="s">
        <v>13884</v>
      </c>
      <c r="M6107" s="3" t="str">
        <f>HYPERLINK("..\..\Imagery\ScannedPhotos\1998\CG98-218.5E.jpg")</f>
        <v>..\..\Imagery\ScannedPhotos\1998\CG98-218.5E.jpg</v>
      </c>
      <c r="N6107" t="s">
        <v>1808</v>
      </c>
    </row>
    <row r="6108" spans="1:14" x14ac:dyDescent="0.25">
      <c r="A6108" t="s">
        <v>7417</v>
      </c>
      <c r="B6108">
        <v>344843</v>
      </c>
      <c r="C6108">
        <v>5852094</v>
      </c>
      <c r="D6108">
        <v>21</v>
      </c>
      <c r="E6108" t="s">
        <v>15</v>
      </c>
      <c r="F6108" t="s">
        <v>13885</v>
      </c>
      <c r="G6108">
        <v>6</v>
      </c>
      <c r="H6108" t="s">
        <v>5833</v>
      </c>
      <c r="I6108" t="s">
        <v>304</v>
      </c>
      <c r="J6108" t="s">
        <v>260</v>
      </c>
      <c r="K6108" t="s">
        <v>56</v>
      </c>
      <c r="L6108" t="s">
        <v>13886</v>
      </c>
      <c r="M6108" s="3" t="str">
        <f>HYPERLINK("..\..\Imagery\ScannedPhotos\1998\CG98-218.6E.jpg")</f>
        <v>..\..\Imagery\ScannedPhotos\1998\CG98-218.6E.jpg</v>
      </c>
      <c r="N6108" t="s">
        <v>1808</v>
      </c>
    </row>
    <row r="6109" spans="1:14" x14ac:dyDescent="0.25">
      <c r="A6109" t="s">
        <v>13887</v>
      </c>
      <c r="B6109">
        <v>331084</v>
      </c>
      <c r="C6109">
        <v>5828854</v>
      </c>
      <c r="D6109">
        <v>21</v>
      </c>
      <c r="E6109" t="s">
        <v>15</v>
      </c>
      <c r="F6109" t="s">
        <v>13888</v>
      </c>
      <c r="G6109">
        <v>1</v>
      </c>
      <c r="H6109" t="s">
        <v>5833</v>
      </c>
      <c r="I6109" t="s">
        <v>122</v>
      </c>
      <c r="J6109" t="s">
        <v>260</v>
      </c>
      <c r="K6109" t="s">
        <v>20</v>
      </c>
      <c r="L6109" t="s">
        <v>356</v>
      </c>
      <c r="M6109" s="3" t="str">
        <f>HYPERLINK("..\..\Imagery\ScannedPhotos\1998\CG98-285E.jpg")</f>
        <v>..\..\Imagery\ScannedPhotos\1998\CG98-285E.jpg</v>
      </c>
      <c r="N6109" t="s">
        <v>1808</v>
      </c>
    </row>
    <row r="6110" spans="1:14" x14ac:dyDescent="0.25">
      <c r="A6110" t="s">
        <v>9634</v>
      </c>
      <c r="B6110">
        <v>308234</v>
      </c>
      <c r="C6110">
        <v>5872409</v>
      </c>
      <c r="D6110">
        <v>21</v>
      </c>
      <c r="E6110" t="s">
        <v>15</v>
      </c>
      <c r="F6110" t="s">
        <v>13889</v>
      </c>
      <c r="G6110">
        <v>3</v>
      </c>
      <c r="H6110" t="s">
        <v>12248</v>
      </c>
      <c r="I6110" t="s">
        <v>74</v>
      </c>
      <c r="J6110" t="s">
        <v>7364</v>
      </c>
      <c r="K6110" t="s">
        <v>228</v>
      </c>
      <c r="L6110" t="s">
        <v>13890</v>
      </c>
      <c r="M6110" s="3" t="str">
        <f>HYPERLINK("..\..\Imagery\ScannedPhotos\1998\CG98-003.3E.jpg")</f>
        <v>..\..\Imagery\ScannedPhotos\1998\CG98-003.3E.jpg</v>
      </c>
      <c r="N6110" t="s">
        <v>1808</v>
      </c>
    </row>
    <row r="6111" spans="1:14" x14ac:dyDescent="0.25">
      <c r="A6111" t="s">
        <v>12243</v>
      </c>
      <c r="B6111">
        <v>333310</v>
      </c>
      <c r="C6111">
        <v>5835479</v>
      </c>
      <c r="D6111">
        <v>21</v>
      </c>
      <c r="E6111" t="s">
        <v>15</v>
      </c>
      <c r="F6111" t="s">
        <v>13891</v>
      </c>
      <c r="G6111">
        <v>4</v>
      </c>
      <c r="H6111" t="s">
        <v>12248</v>
      </c>
      <c r="I6111" t="s">
        <v>85</v>
      </c>
      <c r="J6111" t="s">
        <v>7364</v>
      </c>
      <c r="K6111" t="s">
        <v>20</v>
      </c>
      <c r="L6111" t="s">
        <v>12245</v>
      </c>
      <c r="M6111" s="3" t="str">
        <f>HYPERLINK("..\..\Imagery\ScannedPhotos\1998\CG98-302.3E.jpg")</f>
        <v>..\..\Imagery\ScannedPhotos\1998\CG98-302.3E.jpg</v>
      </c>
      <c r="N6111" t="s">
        <v>1808</v>
      </c>
    </row>
    <row r="6112" spans="1:14" x14ac:dyDescent="0.25">
      <c r="A6112" t="s">
        <v>13892</v>
      </c>
      <c r="B6112">
        <v>422701</v>
      </c>
      <c r="C6112">
        <v>5774144</v>
      </c>
      <c r="D6112">
        <v>21</v>
      </c>
      <c r="E6112" t="s">
        <v>15</v>
      </c>
      <c r="F6112" t="s">
        <v>13893</v>
      </c>
      <c r="G6112">
        <v>1</v>
      </c>
      <c r="H6112" t="s">
        <v>738</v>
      </c>
      <c r="I6112" t="s">
        <v>360</v>
      </c>
      <c r="J6112" t="s">
        <v>739</v>
      </c>
      <c r="K6112" t="s">
        <v>20</v>
      </c>
      <c r="L6112" t="s">
        <v>6521</v>
      </c>
      <c r="M6112" s="3" t="str">
        <f>HYPERLINK("..\..\Imagery\ScannedPhotos\1999\CG99-049cropped.jpg")</f>
        <v>..\..\Imagery\ScannedPhotos\1999\CG99-049cropped.jpg</v>
      </c>
      <c r="N6112" t="s">
        <v>4297</v>
      </c>
    </row>
    <row r="6113" spans="1:14" x14ac:dyDescent="0.25">
      <c r="A6113" t="s">
        <v>13894</v>
      </c>
      <c r="B6113">
        <v>414851</v>
      </c>
      <c r="C6113">
        <v>5783106</v>
      </c>
      <c r="D6113">
        <v>21</v>
      </c>
      <c r="E6113" t="s">
        <v>15</v>
      </c>
      <c r="F6113" t="s">
        <v>13895</v>
      </c>
      <c r="G6113">
        <v>1</v>
      </c>
      <c r="H6113" t="s">
        <v>738</v>
      </c>
      <c r="I6113" t="s">
        <v>129</v>
      </c>
      <c r="J6113" t="s">
        <v>739</v>
      </c>
      <c r="K6113" t="s">
        <v>20</v>
      </c>
      <c r="L6113" t="s">
        <v>13896</v>
      </c>
      <c r="M6113" s="3" t="str">
        <f>HYPERLINK("..\..\Imagery\ScannedPhotos\1999\CG99-077cropped.jpg")</f>
        <v>..\..\Imagery\ScannedPhotos\1999\CG99-077cropped.jpg</v>
      </c>
      <c r="N6113" t="s">
        <v>4297</v>
      </c>
    </row>
    <row r="6114" spans="1:14" x14ac:dyDescent="0.25">
      <c r="A6114" t="s">
        <v>5304</v>
      </c>
      <c r="B6114">
        <v>377348</v>
      </c>
      <c r="C6114">
        <v>5762342</v>
      </c>
      <c r="D6114">
        <v>21</v>
      </c>
      <c r="E6114" t="s">
        <v>15</v>
      </c>
      <c r="F6114" t="s">
        <v>13897</v>
      </c>
      <c r="G6114">
        <v>8</v>
      </c>
      <c r="H6114" t="s">
        <v>766</v>
      </c>
      <c r="I6114" t="s">
        <v>25</v>
      </c>
      <c r="J6114" t="s">
        <v>767</v>
      </c>
      <c r="K6114" t="s">
        <v>20</v>
      </c>
      <c r="L6114" t="s">
        <v>772</v>
      </c>
      <c r="M6114" s="3" t="str">
        <f>HYPERLINK("..\..\Imagery\ScannedPhotos\1999\CG99-195.7cropped.jpg")</f>
        <v>..\..\Imagery\ScannedPhotos\1999\CG99-195.7cropped.jpg</v>
      </c>
      <c r="N6114" t="s">
        <v>4297</v>
      </c>
    </row>
    <row r="6115" spans="1:14" x14ac:dyDescent="0.25">
      <c r="A6115" t="s">
        <v>13898</v>
      </c>
      <c r="B6115">
        <v>381790</v>
      </c>
      <c r="C6115">
        <v>5812114</v>
      </c>
      <c r="D6115">
        <v>21</v>
      </c>
      <c r="E6115" t="s">
        <v>15</v>
      </c>
      <c r="F6115" t="s">
        <v>13899</v>
      </c>
      <c r="G6115">
        <v>1</v>
      </c>
      <c r="H6115" t="s">
        <v>4033</v>
      </c>
      <c r="I6115" t="s">
        <v>214</v>
      </c>
      <c r="J6115" t="s">
        <v>4034</v>
      </c>
      <c r="K6115" t="s">
        <v>56</v>
      </c>
      <c r="L6115" t="s">
        <v>13900</v>
      </c>
      <c r="M6115" s="3" t="str">
        <f>HYPERLINK("..\..\Imagery\ScannedPhotos\1999\CG99-224cropped.jpg")</f>
        <v>..\..\Imagery\ScannedPhotos\1999\CG99-224cropped.jpg</v>
      </c>
      <c r="N6115" t="s">
        <v>4297</v>
      </c>
    </row>
    <row r="6116" spans="1:14" x14ac:dyDescent="0.25">
      <c r="A6116" t="s">
        <v>4031</v>
      </c>
      <c r="B6116">
        <v>373843</v>
      </c>
      <c r="C6116">
        <v>5784611</v>
      </c>
      <c r="D6116">
        <v>21</v>
      </c>
      <c r="E6116" t="s">
        <v>15</v>
      </c>
      <c r="F6116" t="s">
        <v>13901</v>
      </c>
      <c r="G6116">
        <v>4</v>
      </c>
      <c r="H6116" t="s">
        <v>4033</v>
      </c>
      <c r="I6116" t="s">
        <v>126</v>
      </c>
      <c r="J6116" t="s">
        <v>4034</v>
      </c>
      <c r="K6116" t="s">
        <v>20</v>
      </c>
      <c r="L6116" t="s">
        <v>13902</v>
      </c>
      <c r="M6116" s="3" t="str">
        <f>HYPERLINK("..\..\Imagery\ScannedPhotos\1999\CG99-254.2cropped.jpg")</f>
        <v>..\..\Imagery\ScannedPhotos\1999\CG99-254.2cropped.jpg</v>
      </c>
      <c r="N6116" t="s">
        <v>4297</v>
      </c>
    </row>
    <row r="6117" spans="1:14" x14ac:dyDescent="0.25">
      <c r="A6117" t="s">
        <v>13903</v>
      </c>
      <c r="B6117">
        <v>368749</v>
      </c>
      <c r="C6117">
        <v>5818144</v>
      </c>
      <c r="D6117">
        <v>21</v>
      </c>
      <c r="E6117" t="s">
        <v>15</v>
      </c>
      <c r="F6117" t="s">
        <v>13904</v>
      </c>
      <c r="G6117">
        <v>1</v>
      </c>
      <c r="H6117" t="s">
        <v>4033</v>
      </c>
      <c r="I6117" t="s">
        <v>401</v>
      </c>
      <c r="J6117" t="s">
        <v>4034</v>
      </c>
      <c r="K6117" t="s">
        <v>20</v>
      </c>
      <c r="L6117" t="s">
        <v>13905</v>
      </c>
      <c r="M6117" s="3" t="str">
        <f>HYPERLINK("..\..\Imagery\ScannedPhotos\1999\CG99-268cropped.jpg")</f>
        <v>..\..\Imagery\ScannedPhotos\1999\CG99-268cropped.jpg</v>
      </c>
      <c r="N6117" t="s">
        <v>4297</v>
      </c>
    </row>
    <row r="6118" spans="1:14" x14ac:dyDescent="0.25">
      <c r="A6118" t="s">
        <v>13156</v>
      </c>
      <c r="B6118">
        <v>365019</v>
      </c>
      <c r="C6118">
        <v>5796276</v>
      </c>
      <c r="D6118">
        <v>21</v>
      </c>
      <c r="E6118" t="s">
        <v>15</v>
      </c>
      <c r="F6118" t="s">
        <v>13906</v>
      </c>
      <c r="G6118">
        <v>2</v>
      </c>
      <c r="H6118" t="s">
        <v>6227</v>
      </c>
      <c r="I6118" t="s">
        <v>18</v>
      </c>
      <c r="J6118" t="s">
        <v>6228</v>
      </c>
      <c r="K6118" t="s">
        <v>20</v>
      </c>
      <c r="L6118" t="s">
        <v>6464</v>
      </c>
      <c r="M6118" s="3" t="str">
        <f>HYPERLINK("..\..\Imagery\ScannedPhotos\1999\CG99-295.2cropped.jpg")</f>
        <v>..\..\Imagery\ScannedPhotos\1999\CG99-295.2cropped.jpg</v>
      </c>
      <c r="N6118" t="s">
        <v>4297</v>
      </c>
    </row>
    <row r="6119" spans="1:14" x14ac:dyDescent="0.25">
      <c r="A6119" t="s">
        <v>13907</v>
      </c>
      <c r="B6119">
        <v>366040</v>
      </c>
      <c r="C6119">
        <v>5782440</v>
      </c>
      <c r="D6119">
        <v>21</v>
      </c>
      <c r="E6119" t="s">
        <v>15</v>
      </c>
      <c r="F6119" t="s">
        <v>13908</v>
      </c>
      <c r="G6119">
        <v>1</v>
      </c>
      <c r="H6119" t="s">
        <v>6227</v>
      </c>
      <c r="I6119" t="s">
        <v>304</v>
      </c>
      <c r="J6119" t="s">
        <v>6228</v>
      </c>
      <c r="K6119" t="s">
        <v>20</v>
      </c>
      <c r="L6119" t="s">
        <v>4086</v>
      </c>
      <c r="M6119" s="3" t="str">
        <f>HYPERLINK("..\..\Imagery\ScannedPhotos\1999\CG99-331cropped.jpg")</f>
        <v>..\..\Imagery\ScannedPhotos\1999\CG99-331cropped.jpg</v>
      </c>
      <c r="N6119" t="s">
        <v>4297</v>
      </c>
    </row>
    <row r="6120" spans="1:14" x14ac:dyDescent="0.25">
      <c r="A6120" t="s">
        <v>7283</v>
      </c>
      <c r="B6120">
        <v>363184</v>
      </c>
      <c r="C6120">
        <v>5786309</v>
      </c>
      <c r="D6120">
        <v>21</v>
      </c>
      <c r="E6120" t="s">
        <v>15</v>
      </c>
      <c r="F6120" t="s">
        <v>13909</v>
      </c>
      <c r="G6120">
        <v>2</v>
      </c>
      <c r="H6120" t="s">
        <v>766</v>
      </c>
      <c r="I6120" t="s">
        <v>94</v>
      </c>
      <c r="J6120" t="s">
        <v>767</v>
      </c>
      <c r="K6120" t="s">
        <v>20</v>
      </c>
      <c r="L6120" t="s">
        <v>6457</v>
      </c>
      <c r="M6120" s="3" t="str">
        <f>HYPERLINK("..\..\Imagery\ScannedPhotos\1999\CG99-372.1cropped.jpg")</f>
        <v>..\..\Imagery\ScannedPhotos\1999\CG99-372.1cropped.jpg</v>
      </c>
      <c r="N6120" t="s">
        <v>4297</v>
      </c>
    </row>
    <row r="6121" spans="1:14" x14ac:dyDescent="0.25">
      <c r="A6121" t="s">
        <v>9146</v>
      </c>
      <c r="B6121">
        <v>430833</v>
      </c>
      <c r="C6121">
        <v>5813722</v>
      </c>
      <c r="D6121">
        <v>21</v>
      </c>
      <c r="E6121" t="s">
        <v>15</v>
      </c>
      <c r="F6121" t="s">
        <v>13910</v>
      </c>
      <c r="G6121">
        <v>10</v>
      </c>
      <c r="H6121" t="s">
        <v>656</v>
      </c>
      <c r="I6121" t="s">
        <v>360</v>
      </c>
      <c r="J6121" t="s">
        <v>657</v>
      </c>
      <c r="K6121" t="s">
        <v>228</v>
      </c>
      <c r="L6121" t="s">
        <v>13911</v>
      </c>
      <c r="M6121" s="3" t="str">
        <f>HYPERLINK("..\..\Imagery\ScannedPhotos\1999\CG99-014.1E.jpg")</f>
        <v>..\..\Imagery\ScannedPhotos\1999\CG99-014.1E.jpg</v>
      </c>
      <c r="N6121" t="s">
        <v>1808</v>
      </c>
    </row>
    <row r="6122" spans="1:14" x14ac:dyDescent="0.25">
      <c r="A6122" t="s">
        <v>9146</v>
      </c>
      <c r="B6122">
        <v>430833</v>
      </c>
      <c r="C6122">
        <v>5813722</v>
      </c>
      <c r="D6122">
        <v>21</v>
      </c>
      <c r="E6122" t="s">
        <v>15</v>
      </c>
      <c r="F6122" t="s">
        <v>13912</v>
      </c>
      <c r="G6122">
        <v>10</v>
      </c>
      <c r="H6122" t="s">
        <v>656</v>
      </c>
      <c r="I6122" t="s">
        <v>30</v>
      </c>
      <c r="J6122" t="s">
        <v>657</v>
      </c>
      <c r="K6122" t="s">
        <v>228</v>
      </c>
      <c r="L6122" t="s">
        <v>13913</v>
      </c>
      <c r="M6122" s="3" t="str">
        <f>HYPERLINK("..\..\Imagery\ScannedPhotos\1999\CG99-014.3E.jpg")</f>
        <v>..\..\Imagery\ScannedPhotos\1999\CG99-014.3E.jpg</v>
      </c>
      <c r="N6122" t="s">
        <v>1808</v>
      </c>
    </row>
    <row r="6123" spans="1:14" x14ac:dyDescent="0.25">
      <c r="A6123" t="s">
        <v>9146</v>
      </c>
      <c r="B6123">
        <v>430833</v>
      </c>
      <c r="C6123">
        <v>5813722</v>
      </c>
      <c r="D6123">
        <v>21</v>
      </c>
      <c r="E6123" t="s">
        <v>15</v>
      </c>
      <c r="F6123" t="s">
        <v>13914</v>
      </c>
      <c r="G6123">
        <v>10</v>
      </c>
      <c r="H6123" t="s">
        <v>656</v>
      </c>
      <c r="I6123" t="s">
        <v>114</v>
      </c>
      <c r="J6123" t="s">
        <v>657</v>
      </c>
      <c r="K6123" t="s">
        <v>228</v>
      </c>
      <c r="L6123" t="s">
        <v>13915</v>
      </c>
      <c r="M6123" s="3" t="str">
        <f>HYPERLINK("..\..\Imagery\ScannedPhotos\1999\CG99-014.4E.jpg")</f>
        <v>..\..\Imagery\ScannedPhotos\1999\CG99-014.4E.jpg</v>
      </c>
      <c r="N6123" t="s">
        <v>1808</v>
      </c>
    </row>
    <row r="6124" spans="1:14" x14ac:dyDescent="0.25">
      <c r="A6124" t="s">
        <v>9146</v>
      </c>
      <c r="B6124">
        <v>430833</v>
      </c>
      <c r="C6124">
        <v>5813722</v>
      </c>
      <c r="D6124">
        <v>21</v>
      </c>
      <c r="E6124" t="s">
        <v>15</v>
      </c>
      <c r="F6124" t="s">
        <v>13916</v>
      </c>
      <c r="G6124">
        <v>10</v>
      </c>
      <c r="H6124" t="s">
        <v>656</v>
      </c>
      <c r="I6124" t="s">
        <v>119</v>
      </c>
      <c r="J6124" t="s">
        <v>657</v>
      </c>
      <c r="K6124" t="s">
        <v>228</v>
      </c>
      <c r="L6124" t="s">
        <v>13917</v>
      </c>
      <c r="M6124" s="3" t="str">
        <f>HYPERLINK("..\..\Imagery\ScannedPhotos\1999\CG99-014.5E.jpg")</f>
        <v>..\..\Imagery\ScannedPhotos\1999\CG99-014.5E.jpg</v>
      </c>
      <c r="N6124" t="s">
        <v>1808</v>
      </c>
    </row>
    <row r="6125" spans="1:14" x14ac:dyDescent="0.25">
      <c r="A6125" t="s">
        <v>9146</v>
      </c>
      <c r="B6125">
        <v>430833</v>
      </c>
      <c r="C6125">
        <v>5813722</v>
      </c>
      <c r="D6125">
        <v>21</v>
      </c>
      <c r="E6125" t="s">
        <v>15</v>
      </c>
      <c r="F6125" t="s">
        <v>13918</v>
      </c>
      <c r="G6125">
        <v>10</v>
      </c>
      <c r="H6125" t="s">
        <v>656</v>
      </c>
      <c r="I6125" t="s">
        <v>122</v>
      </c>
      <c r="J6125" t="s">
        <v>657</v>
      </c>
      <c r="K6125" t="s">
        <v>228</v>
      </c>
      <c r="L6125" t="s">
        <v>13919</v>
      </c>
      <c r="M6125" s="3" t="str">
        <f>HYPERLINK("..\..\Imagery\ScannedPhotos\1999\CG99-014.6E.jpg")</f>
        <v>..\..\Imagery\ScannedPhotos\1999\CG99-014.6E.jpg</v>
      </c>
      <c r="N6125" t="s">
        <v>1808</v>
      </c>
    </row>
    <row r="6126" spans="1:14" x14ac:dyDescent="0.25">
      <c r="A6126" t="s">
        <v>7915</v>
      </c>
      <c r="B6126">
        <v>465894</v>
      </c>
      <c r="C6126">
        <v>5902169</v>
      </c>
      <c r="D6126">
        <v>21</v>
      </c>
      <c r="E6126" t="s">
        <v>15</v>
      </c>
      <c r="F6126" t="s">
        <v>13920</v>
      </c>
      <c r="G6126">
        <v>4</v>
      </c>
      <c r="H6126" t="s">
        <v>4524</v>
      </c>
      <c r="I6126" t="s">
        <v>74</v>
      </c>
      <c r="J6126" t="s">
        <v>3309</v>
      </c>
      <c r="K6126" t="s">
        <v>56</v>
      </c>
      <c r="L6126" t="s">
        <v>9858</v>
      </c>
      <c r="M6126" s="3" t="str">
        <f>HYPERLINK("..\..\Imagery\ScannedPhotos\1984\VN84-439.1cropped.jpg")</f>
        <v>..\..\Imagery\ScannedPhotos\1984\VN84-439.1cropped.jpg</v>
      </c>
      <c r="N6126" t="s">
        <v>4297</v>
      </c>
    </row>
    <row r="6127" spans="1:14" x14ac:dyDescent="0.25">
      <c r="A6127" t="s">
        <v>8973</v>
      </c>
      <c r="B6127">
        <v>507032</v>
      </c>
      <c r="C6127">
        <v>5899032</v>
      </c>
      <c r="D6127">
        <v>21</v>
      </c>
      <c r="E6127" t="s">
        <v>15</v>
      </c>
      <c r="F6127" t="s">
        <v>13921</v>
      </c>
      <c r="G6127">
        <v>3</v>
      </c>
      <c r="H6127" t="s">
        <v>2284</v>
      </c>
      <c r="I6127" t="s">
        <v>122</v>
      </c>
      <c r="J6127" t="s">
        <v>3136</v>
      </c>
      <c r="K6127" t="s">
        <v>228</v>
      </c>
      <c r="L6127" t="s">
        <v>13922</v>
      </c>
      <c r="M6127" s="3" t="str">
        <f>HYPERLINK("..\..\Imagery\ScannedPhotos\1985\CG85-121.2E.jpg")</f>
        <v>..\..\Imagery\ScannedPhotos\1985\CG85-121.2E.jpg</v>
      </c>
      <c r="N6127" t="s">
        <v>1808</v>
      </c>
    </row>
    <row r="6128" spans="1:14" x14ac:dyDescent="0.25">
      <c r="A6128" t="s">
        <v>9350</v>
      </c>
      <c r="B6128">
        <v>506980</v>
      </c>
      <c r="C6128">
        <v>5895807</v>
      </c>
      <c r="D6128">
        <v>21</v>
      </c>
      <c r="E6128" t="s">
        <v>15</v>
      </c>
      <c r="F6128" t="s">
        <v>13923</v>
      </c>
      <c r="G6128">
        <v>2</v>
      </c>
      <c r="H6128" t="s">
        <v>2084</v>
      </c>
      <c r="I6128" t="s">
        <v>209</v>
      </c>
      <c r="J6128" t="s">
        <v>1014</v>
      </c>
      <c r="K6128" t="s">
        <v>56</v>
      </c>
      <c r="L6128" t="s">
        <v>9352</v>
      </c>
      <c r="M6128" s="3" t="str">
        <f>HYPERLINK("..\..\Imagery\ScannedPhotos\1985\CG85-180.1cropped.jpg")</f>
        <v>..\..\Imagery\ScannedPhotos\1985\CG85-180.1cropped.jpg</v>
      </c>
      <c r="N6128" t="s">
        <v>4297</v>
      </c>
    </row>
    <row r="6129" spans="1:14" x14ac:dyDescent="0.25">
      <c r="A6129" t="s">
        <v>2056</v>
      </c>
      <c r="B6129">
        <v>447200</v>
      </c>
      <c r="C6129">
        <v>5924550</v>
      </c>
      <c r="D6129">
        <v>21</v>
      </c>
      <c r="E6129" t="s">
        <v>15</v>
      </c>
      <c r="F6129" t="s">
        <v>13924</v>
      </c>
      <c r="G6129">
        <v>7</v>
      </c>
      <c r="H6129" t="s">
        <v>1604</v>
      </c>
      <c r="I6129" t="s">
        <v>18</v>
      </c>
      <c r="J6129" t="s">
        <v>1605</v>
      </c>
      <c r="K6129" t="s">
        <v>20</v>
      </c>
      <c r="L6129" t="s">
        <v>13925</v>
      </c>
      <c r="M6129" s="3" t="str">
        <f>HYPERLINK("..\..\Imagery\ScannedPhotos\1985\CG85-309.4cropped.jpg")</f>
        <v>..\..\Imagery\ScannedPhotos\1985\CG85-309.4cropped.jpg</v>
      </c>
      <c r="N6129" t="s">
        <v>4297</v>
      </c>
    </row>
    <row r="6130" spans="1:14" x14ac:dyDescent="0.25">
      <c r="A6130" t="s">
        <v>13926</v>
      </c>
      <c r="B6130">
        <v>579929</v>
      </c>
      <c r="C6130">
        <v>5875017</v>
      </c>
      <c r="D6130">
        <v>21</v>
      </c>
      <c r="E6130" t="s">
        <v>15</v>
      </c>
      <c r="F6130" t="s">
        <v>13927</v>
      </c>
      <c r="G6130">
        <v>1</v>
      </c>
      <c r="H6130" t="s">
        <v>1013</v>
      </c>
      <c r="I6130" t="s">
        <v>94</v>
      </c>
      <c r="J6130" t="s">
        <v>1014</v>
      </c>
      <c r="K6130" t="s">
        <v>20</v>
      </c>
      <c r="L6130" t="s">
        <v>13928</v>
      </c>
      <c r="M6130" s="3" t="str">
        <f>HYPERLINK("..\..\Imagery\ScannedPhotos\1985\CG85-459.1cropped.jpg")</f>
        <v>..\..\Imagery\ScannedPhotos\1985\CG85-459.1cropped.jpg</v>
      </c>
      <c r="N6130" t="s">
        <v>4297</v>
      </c>
    </row>
    <row r="6131" spans="1:14" x14ac:dyDescent="0.25">
      <c r="A6131" t="s">
        <v>13926</v>
      </c>
      <c r="B6131">
        <v>579929</v>
      </c>
      <c r="C6131">
        <v>5875017</v>
      </c>
      <c r="D6131">
        <v>21</v>
      </c>
      <c r="E6131" t="s">
        <v>15</v>
      </c>
      <c r="F6131" t="s">
        <v>13929</v>
      </c>
      <c r="G6131">
        <v>1</v>
      </c>
      <c r="H6131" t="s">
        <v>1013</v>
      </c>
      <c r="I6131" t="s">
        <v>209</v>
      </c>
      <c r="J6131" t="s">
        <v>1014</v>
      </c>
      <c r="K6131" t="s">
        <v>228</v>
      </c>
      <c r="L6131" t="s">
        <v>13930</v>
      </c>
      <c r="M6131" s="3" t="str">
        <f>HYPERLINK("..\..\Imagery\ScannedPhotos\1985\CG85-459.2E.jpg")</f>
        <v>..\..\Imagery\ScannedPhotos\1985\CG85-459.2E.jpg</v>
      </c>
      <c r="N6131" t="s">
        <v>1808</v>
      </c>
    </row>
    <row r="6132" spans="1:14" x14ac:dyDescent="0.25">
      <c r="A6132" t="s">
        <v>1032</v>
      </c>
      <c r="B6132">
        <v>579955</v>
      </c>
      <c r="C6132">
        <v>5876736</v>
      </c>
      <c r="D6132">
        <v>21</v>
      </c>
      <c r="E6132" t="s">
        <v>15</v>
      </c>
      <c r="F6132" t="s">
        <v>13931</v>
      </c>
      <c r="G6132">
        <v>1</v>
      </c>
      <c r="H6132" t="s">
        <v>1013</v>
      </c>
      <c r="I6132" t="s">
        <v>30</v>
      </c>
      <c r="J6132" t="s">
        <v>1014</v>
      </c>
      <c r="K6132" t="s">
        <v>228</v>
      </c>
      <c r="L6132" t="s">
        <v>13932</v>
      </c>
      <c r="M6132" s="3" t="str">
        <f>HYPERLINK("..\..\Imagery\ScannedPhotos\1985\CG85-465.5E.jpg")</f>
        <v>..\..\Imagery\ScannedPhotos\1985\CG85-465.5E.jpg</v>
      </c>
      <c r="N6132" t="s">
        <v>1808</v>
      </c>
    </row>
    <row r="6133" spans="1:14" x14ac:dyDescent="0.25">
      <c r="A6133" t="s">
        <v>1032</v>
      </c>
      <c r="B6133">
        <v>579955</v>
      </c>
      <c r="C6133">
        <v>5876736</v>
      </c>
      <c r="D6133">
        <v>21</v>
      </c>
      <c r="E6133" t="s">
        <v>15</v>
      </c>
      <c r="F6133" t="s">
        <v>13933</v>
      </c>
      <c r="G6133">
        <v>1</v>
      </c>
      <c r="H6133" t="s">
        <v>1013</v>
      </c>
      <c r="I6133" t="s">
        <v>114</v>
      </c>
      <c r="J6133" t="s">
        <v>1014</v>
      </c>
      <c r="K6133" t="s">
        <v>228</v>
      </c>
      <c r="L6133" t="s">
        <v>13934</v>
      </c>
      <c r="M6133" s="3" t="str">
        <f>HYPERLINK("..\..\Imagery\ScannedPhotos\1985\CG85-465.6E.jpg")</f>
        <v>..\..\Imagery\ScannedPhotos\1985\CG85-465.6E.jpg</v>
      </c>
      <c r="N6133" t="s">
        <v>1808</v>
      </c>
    </row>
    <row r="6134" spans="1:14" x14ac:dyDescent="0.25">
      <c r="A6134" t="s">
        <v>1371</v>
      </c>
      <c r="B6134">
        <v>581222</v>
      </c>
      <c r="C6134">
        <v>5885848</v>
      </c>
      <c r="D6134">
        <v>21</v>
      </c>
      <c r="E6134" t="s">
        <v>15</v>
      </c>
      <c r="F6134" t="s">
        <v>13935</v>
      </c>
      <c r="G6134">
        <v>2</v>
      </c>
      <c r="H6134" t="s">
        <v>1373</v>
      </c>
      <c r="I6134" t="s">
        <v>69</v>
      </c>
      <c r="J6134" t="s">
        <v>1374</v>
      </c>
      <c r="K6134" t="s">
        <v>20</v>
      </c>
      <c r="L6134" t="s">
        <v>1375</v>
      </c>
      <c r="M6134" s="3" t="str">
        <f>HYPERLINK("..\..\Imagery\ScannedPhotos\1985\CG85-488.1cropped.jpg")</f>
        <v>..\..\Imagery\ScannedPhotos\1985\CG85-488.1cropped.jpg</v>
      </c>
      <c r="N6134" t="s">
        <v>4297</v>
      </c>
    </row>
    <row r="6135" spans="1:14" x14ac:dyDescent="0.25">
      <c r="A6135" t="s">
        <v>12173</v>
      </c>
      <c r="B6135">
        <v>579503</v>
      </c>
      <c r="C6135">
        <v>5894184</v>
      </c>
      <c r="D6135">
        <v>21</v>
      </c>
      <c r="E6135" t="s">
        <v>15</v>
      </c>
      <c r="F6135" t="s">
        <v>13936</v>
      </c>
      <c r="G6135">
        <v>3</v>
      </c>
      <c r="H6135" t="s">
        <v>627</v>
      </c>
      <c r="I6135" t="s">
        <v>214</v>
      </c>
      <c r="J6135" t="s">
        <v>628</v>
      </c>
      <c r="K6135" t="s">
        <v>20</v>
      </c>
      <c r="L6135" t="s">
        <v>13937</v>
      </c>
      <c r="M6135" s="3" t="str">
        <f>HYPERLINK("..\..\Imagery\ScannedPhotos\1985\CG85-492.1cropped.jpg")</f>
        <v>..\..\Imagery\ScannedPhotos\1985\CG85-492.1cropped.jpg</v>
      </c>
      <c r="N6135" t="s">
        <v>4297</v>
      </c>
    </row>
    <row r="6136" spans="1:14" x14ac:dyDescent="0.25">
      <c r="A6136" t="s">
        <v>12173</v>
      </c>
      <c r="B6136">
        <v>579503</v>
      </c>
      <c r="C6136">
        <v>5894184</v>
      </c>
      <c r="D6136">
        <v>21</v>
      </c>
      <c r="E6136" t="s">
        <v>15</v>
      </c>
      <c r="F6136" t="s">
        <v>13938</v>
      </c>
      <c r="G6136">
        <v>3</v>
      </c>
      <c r="H6136" t="s">
        <v>627</v>
      </c>
      <c r="I6136" t="s">
        <v>418</v>
      </c>
      <c r="J6136" t="s">
        <v>628</v>
      </c>
      <c r="K6136" t="s">
        <v>20</v>
      </c>
      <c r="L6136" t="s">
        <v>13939</v>
      </c>
      <c r="M6136" s="3" t="str">
        <f>HYPERLINK("..\..\Imagery\ScannedPhotos\1985\CG85-492.3cropped.jpg")</f>
        <v>..\..\Imagery\ScannedPhotos\1985\CG85-492.3cropped.jpg</v>
      </c>
      <c r="N6136" t="s">
        <v>4297</v>
      </c>
    </row>
    <row r="6137" spans="1:14" x14ac:dyDescent="0.25">
      <c r="A6137" t="s">
        <v>1376</v>
      </c>
      <c r="B6137">
        <v>581927</v>
      </c>
      <c r="C6137">
        <v>5899392</v>
      </c>
      <c r="D6137">
        <v>21</v>
      </c>
      <c r="E6137" t="s">
        <v>15</v>
      </c>
      <c r="F6137" t="s">
        <v>13940</v>
      </c>
      <c r="G6137">
        <v>3</v>
      </c>
      <c r="H6137" t="s">
        <v>1373</v>
      </c>
      <c r="I6137" t="s">
        <v>647</v>
      </c>
      <c r="J6137" t="s">
        <v>1374</v>
      </c>
      <c r="K6137" t="s">
        <v>20</v>
      </c>
      <c r="L6137" t="s">
        <v>1379</v>
      </c>
      <c r="M6137" s="3" t="str">
        <f>HYPERLINK("..\..\Imagery\ScannedPhotos\1985\CG85-532.1cropped.jpg")</f>
        <v>..\..\Imagery\ScannedPhotos\1985\CG85-532.1cropped.jpg</v>
      </c>
      <c r="N6137" t="s">
        <v>4297</v>
      </c>
    </row>
    <row r="6138" spans="1:14" x14ac:dyDescent="0.25">
      <c r="A6138" t="s">
        <v>9877</v>
      </c>
      <c r="B6138">
        <v>567640</v>
      </c>
      <c r="C6138">
        <v>5946751</v>
      </c>
      <c r="D6138">
        <v>21</v>
      </c>
      <c r="E6138" t="s">
        <v>15</v>
      </c>
      <c r="F6138" t="s">
        <v>13941</v>
      </c>
      <c r="G6138">
        <v>4</v>
      </c>
      <c r="H6138" t="s">
        <v>1373</v>
      </c>
      <c r="I6138" t="s">
        <v>129</v>
      </c>
      <c r="J6138" t="s">
        <v>1374</v>
      </c>
      <c r="K6138" t="s">
        <v>228</v>
      </c>
      <c r="L6138" t="s">
        <v>13942</v>
      </c>
      <c r="M6138" s="3" t="str">
        <f>HYPERLINK("..\..\Imagery\ScannedPhotos\1985\CG85-541.1E.jpg")</f>
        <v>..\..\Imagery\ScannedPhotos\1985\CG85-541.1E.jpg</v>
      </c>
      <c r="N6138" t="s">
        <v>1808</v>
      </c>
    </row>
    <row r="6139" spans="1:14" x14ac:dyDescent="0.25">
      <c r="A6139" t="s">
        <v>7233</v>
      </c>
      <c r="B6139">
        <v>571063</v>
      </c>
      <c r="C6139">
        <v>5939503</v>
      </c>
      <c r="D6139">
        <v>21</v>
      </c>
      <c r="E6139" t="s">
        <v>15</v>
      </c>
      <c r="F6139" t="s">
        <v>13943</v>
      </c>
      <c r="G6139">
        <v>3</v>
      </c>
      <c r="H6139" t="s">
        <v>1373</v>
      </c>
      <c r="I6139" t="s">
        <v>65</v>
      </c>
      <c r="J6139" t="s">
        <v>1374</v>
      </c>
      <c r="K6139" t="s">
        <v>228</v>
      </c>
      <c r="L6139" t="s">
        <v>13944</v>
      </c>
      <c r="M6139" s="3" t="str">
        <f>HYPERLINK("..\..\Imagery\ScannedPhotos\1985\CG85-545.1E.jpg")</f>
        <v>..\..\Imagery\ScannedPhotos\1985\CG85-545.1E.jpg</v>
      </c>
      <c r="N6139" t="s">
        <v>1808</v>
      </c>
    </row>
    <row r="6140" spans="1:14" x14ac:dyDescent="0.25">
      <c r="A6140" t="s">
        <v>7233</v>
      </c>
      <c r="B6140">
        <v>571063</v>
      </c>
      <c r="C6140">
        <v>5939503</v>
      </c>
      <c r="D6140">
        <v>21</v>
      </c>
      <c r="E6140" t="s">
        <v>15</v>
      </c>
      <c r="F6140" t="s">
        <v>13945</v>
      </c>
      <c r="G6140">
        <v>3</v>
      </c>
      <c r="H6140" t="s">
        <v>1373</v>
      </c>
      <c r="I6140" t="s">
        <v>401</v>
      </c>
      <c r="J6140" t="s">
        <v>1374</v>
      </c>
      <c r="K6140" t="s">
        <v>228</v>
      </c>
      <c r="L6140" t="s">
        <v>13946</v>
      </c>
      <c r="M6140" s="3" t="str">
        <f>HYPERLINK("..\..\Imagery\ScannedPhotos\1985\CG85-545.2E.jpg")</f>
        <v>..\..\Imagery\ScannedPhotos\1985\CG85-545.2E.jpg</v>
      </c>
      <c r="N6140" t="s">
        <v>1808</v>
      </c>
    </row>
    <row r="6141" spans="1:14" x14ac:dyDescent="0.25">
      <c r="A6141" t="s">
        <v>659</v>
      </c>
      <c r="B6141">
        <v>572452</v>
      </c>
      <c r="C6141">
        <v>5934965</v>
      </c>
      <c r="D6141">
        <v>21</v>
      </c>
      <c r="E6141" t="s">
        <v>15</v>
      </c>
      <c r="F6141" t="s">
        <v>13947</v>
      </c>
      <c r="G6141">
        <v>3</v>
      </c>
      <c r="H6141" t="s">
        <v>627</v>
      </c>
      <c r="I6141" t="s">
        <v>35</v>
      </c>
      <c r="J6141" t="s">
        <v>628</v>
      </c>
      <c r="K6141" t="s">
        <v>228</v>
      </c>
      <c r="L6141" t="s">
        <v>13948</v>
      </c>
      <c r="M6141" s="3" t="str">
        <f>HYPERLINK("..\..\Imagery\ScannedPhotos\1985\CG85-548.3E.jpg")</f>
        <v>..\..\Imagery\ScannedPhotos\1985\CG85-548.3E.jpg</v>
      </c>
      <c r="N6141" t="s">
        <v>1808</v>
      </c>
    </row>
    <row r="6142" spans="1:14" x14ac:dyDescent="0.25">
      <c r="A6142" t="s">
        <v>13949</v>
      </c>
      <c r="B6142">
        <v>592100</v>
      </c>
      <c r="C6142">
        <v>5921100</v>
      </c>
      <c r="D6142">
        <v>21</v>
      </c>
      <c r="E6142" t="s">
        <v>15</v>
      </c>
      <c r="F6142" t="s">
        <v>13950</v>
      </c>
      <c r="G6142">
        <v>1</v>
      </c>
      <c r="H6142" t="s">
        <v>627</v>
      </c>
      <c r="I6142" t="s">
        <v>74</v>
      </c>
      <c r="J6142" t="s">
        <v>628</v>
      </c>
      <c r="K6142" t="s">
        <v>228</v>
      </c>
      <c r="L6142" t="s">
        <v>13951</v>
      </c>
      <c r="M6142" s="3" t="str">
        <f>HYPERLINK("..\..\Imagery\ScannedPhotos\1985\CG85-549E.jpg")</f>
        <v>..\..\Imagery\ScannedPhotos\1985\CG85-549E.jpg</v>
      </c>
      <c r="N6142" t="s">
        <v>1808</v>
      </c>
    </row>
    <row r="6143" spans="1:14" x14ac:dyDescent="0.25">
      <c r="A6143" t="s">
        <v>5366</v>
      </c>
      <c r="B6143">
        <v>572892</v>
      </c>
      <c r="C6143">
        <v>5876383</v>
      </c>
      <c r="D6143">
        <v>21</v>
      </c>
      <c r="E6143" t="s">
        <v>15</v>
      </c>
      <c r="F6143" t="s">
        <v>13952</v>
      </c>
      <c r="G6143">
        <v>2</v>
      </c>
      <c r="H6143" t="s">
        <v>627</v>
      </c>
      <c r="I6143" t="s">
        <v>85</v>
      </c>
      <c r="J6143" t="s">
        <v>628</v>
      </c>
      <c r="K6143" t="s">
        <v>20</v>
      </c>
      <c r="L6143" t="s">
        <v>451</v>
      </c>
      <c r="M6143" s="3" t="str">
        <f>HYPERLINK("..\..\Imagery\ScannedPhotos\1985\CG85-558.1E.jpg")</f>
        <v>..\..\Imagery\ScannedPhotos\1985\CG85-558.1E.jpg</v>
      </c>
      <c r="N6143" t="s">
        <v>1808</v>
      </c>
    </row>
    <row r="6144" spans="1:14" x14ac:dyDescent="0.25">
      <c r="A6144" t="s">
        <v>13953</v>
      </c>
      <c r="B6144">
        <v>578900</v>
      </c>
      <c r="C6144">
        <v>5926889</v>
      </c>
      <c r="D6144">
        <v>21</v>
      </c>
      <c r="E6144" t="s">
        <v>15</v>
      </c>
      <c r="F6144" t="s">
        <v>13954</v>
      </c>
      <c r="G6144">
        <v>1</v>
      </c>
      <c r="H6144" t="s">
        <v>1378</v>
      </c>
      <c r="I6144" t="s">
        <v>69</v>
      </c>
      <c r="J6144" t="s">
        <v>628</v>
      </c>
      <c r="K6144" t="s">
        <v>20</v>
      </c>
      <c r="L6144" t="s">
        <v>13955</v>
      </c>
      <c r="M6144" s="3" t="str">
        <f>HYPERLINK("..\..\Imagery\ScannedPhotos\1985\CG85-618E.jpg")</f>
        <v>..\..\Imagery\ScannedPhotos\1985\CG85-618E.jpg</v>
      </c>
      <c r="N6144" t="s">
        <v>1808</v>
      </c>
    </row>
    <row r="6145" spans="1:14" x14ac:dyDescent="0.25">
      <c r="A6145" t="s">
        <v>10577</v>
      </c>
      <c r="B6145">
        <v>564932</v>
      </c>
      <c r="C6145">
        <v>5926177</v>
      </c>
      <c r="D6145">
        <v>21</v>
      </c>
      <c r="E6145" t="s">
        <v>15</v>
      </c>
      <c r="F6145" t="s">
        <v>13956</v>
      </c>
      <c r="G6145">
        <v>2</v>
      </c>
      <c r="H6145" t="s">
        <v>1378</v>
      </c>
      <c r="I6145" t="s">
        <v>30</v>
      </c>
      <c r="J6145" t="s">
        <v>628</v>
      </c>
      <c r="K6145" t="s">
        <v>20</v>
      </c>
      <c r="L6145" t="s">
        <v>13957</v>
      </c>
      <c r="M6145" s="3" t="str">
        <f>HYPERLINK("..\..\Imagery\ScannedPhotos\1985\CG85-652.2cropped.jpg")</f>
        <v>..\..\Imagery\ScannedPhotos\1985\CG85-652.2cropped.jpg</v>
      </c>
      <c r="N6145" t="s">
        <v>4297</v>
      </c>
    </row>
    <row r="6146" spans="1:14" x14ac:dyDescent="0.25">
      <c r="A6146" t="s">
        <v>10580</v>
      </c>
      <c r="B6146">
        <v>580273</v>
      </c>
      <c r="C6146">
        <v>5900047</v>
      </c>
      <c r="D6146">
        <v>21</v>
      </c>
      <c r="E6146" t="s">
        <v>15</v>
      </c>
      <c r="F6146" t="s">
        <v>13958</v>
      </c>
      <c r="G6146">
        <v>7</v>
      </c>
      <c r="H6146" t="s">
        <v>17</v>
      </c>
      <c r="I6146" t="s">
        <v>85</v>
      </c>
      <c r="J6146" t="s">
        <v>19</v>
      </c>
      <c r="K6146" t="s">
        <v>20</v>
      </c>
      <c r="L6146" t="s">
        <v>10582</v>
      </c>
      <c r="M6146" s="3" t="str">
        <f>HYPERLINK("..\..\Imagery\ScannedPhotos\1985\CG85-654.5cropped.jpg")</f>
        <v>..\..\Imagery\ScannedPhotos\1985\CG85-654.5cropped.jpg</v>
      </c>
      <c r="N6146" t="s">
        <v>4297</v>
      </c>
    </row>
    <row r="6147" spans="1:14" x14ac:dyDescent="0.25">
      <c r="A6147" t="s">
        <v>7193</v>
      </c>
      <c r="B6147">
        <v>582141</v>
      </c>
      <c r="C6147">
        <v>5927434</v>
      </c>
      <c r="D6147">
        <v>21</v>
      </c>
      <c r="E6147" t="s">
        <v>15</v>
      </c>
      <c r="F6147" t="s">
        <v>13959</v>
      </c>
      <c r="G6147">
        <v>8</v>
      </c>
      <c r="H6147" t="s">
        <v>2084</v>
      </c>
      <c r="I6147" t="s">
        <v>360</v>
      </c>
      <c r="J6147" t="s">
        <v>1014</v>
      </c>
      <c r="K6147" t="s">
        <v>228</v>
      </c>
      <c r="L6147" t="s">
        <v>13960</v>
      </c>
      <c r="M6147" s="3" t="str">
        <f>HYPERLINK("..\..\Imagery\ScannedPhotos\1985\SP85-133.1E.jpg")</f>
        <v>..\..\Imagery\ScannedPhotos\1985\SP85-133.1E.jpg</v>
      </c>
      <c r="N6147" t="s">
        <v>1808</v>
      </c>
    </row>
    <row r="6148" spans="1:14" x14ac:dyDescent="0.25">
      <c r="A6148" t="s">
        <v>7193</v>
      </c>
      <c r="B6148">
        <v>582141</v>
      </c>
      <c r="C6148">
        <v>5927434</v>
      </c>
      <c r="D6148">
        <v>21</v>
      </c>
      <c r="E6148" t="s">
        <v>15</v>
      </c>
      <c r="F6148" t="s">
        <v>13961</v>
      </c>
      <c r="G6148">
        <v>8</v>
      </c>
      <c r="H6148" t="s">
        <v>1378</v>
      </c>
      <c r="I6148" t="s">
        <v>47</v>
      </c>
      <c r="J6148" t="s">
        <v>628</v>
      </c>
      <c r="K6148" t="s">
        <v>535</v>
      </c>
      <c r="L6148" t="s">
        <v>13962</v>
      </c>
      <c r="M6148" s="3" t="str">
        <f>HYPERLINK("..\..\Imagery\ScannedPhotos\1985\SP85-133.5E.jpg")</f>
        <v>..\..\Imagery\ScannedPhotos\1985\SP85-133.5E.jpg</v>
      </c>
      <c r="N6148" t="s">
        <v>1808</v>
      </c>
    </row>
    <row r="6149" spans="1:14" x14ac:dyDescent="0.25">
      <c r="A6149" t="s">
        <v>7193</v>
      </c>
      <c r="B6149">
        <v>582141</v>
      </c>
      <c r="C6149">
        <v>5927434</v>
      </c>
      <c r="D6149">
        <v>21</v>
      </c>
      <c r="E6149" t="s">
        <v>15</v>
      </c>
      <c r="F6149" t="s">
        <v>13963</v>
      </c>
      <c r="G6149">
        <v>8</v>
      </c>
      <c r="H6149" t="s">
        <v>1378</v>
      </c>
      <c r="I6149" t="s">
        <v>401</v>
      </c>
      <c r="J6149" t="s">
        <v>628</v>
      </c>
      <c r="K6149" t="s">
        <v>535</v>
      </c>
      <c r="L6149" t="s">
        <v>13964</v>
      </c>
      <c r="M6149" s="3" t="str">
        <f>HYPERLINK("..\..\Imagery\ScannedPhotos\1985\SP85-133.8E.jpg")</f>
        <v>..\..\Imagery\ScannedPhotos\1985\SP85-133.8E.jpg</v>
      </c>
      <c r="N6149" t="s">
        <v>1808</v>
      </c>
    </row>
    <row r="6150" spans="1:14" x14ac:dyDescent="0.25">
      <c r="A6150" t="s">
        <v>13965</v>
      </c>
      <c r="B6150">
        <v>582322</v>
      </c>
      <c r="C6150">
        <v>5923575</v>
      </c>
      <c r="D6150">
        <v>21</v>
      </c>
      <c r="E6150" t="s">
        <v>15</v>
      </c>
      <c r="F6150" t="s">
        <v>13966</v>
      </c>
      <c r="G6150">
        <v>1</v>
      </c>
      <c r="H6150" t="s">
        <v>1232</v>
      </c>
      <c r="I6150" t="s">
        <v>375</v>
      </c>
      <c r="J6150" t="s">
        <v>1233</v>
      </c>
      <c r="K6150" t="s">
        <v>228</v>
      </c>
      <c r="L6150" t="s">
        <v>13967</v>
      </c>
      <c r="M6150" s="3" t="str">
        <f>HYPERLINK("..\..\Imagery\ScannedPhotos\1985\SP85-174E.jpg")</f>
        <v>..\..\Imagery\ScannedPhotos\1985\SP85-174E.jpg</v>
      </c>
      <c r="N6150" t="s">
        <v>1808</v>
      </c>
    </row>
    <row r="6151" spans="1:14" x14ac:dyDescent="0.25">
      <c r="A6151" t="s">
        <v>9951</v>
      </c>
      <c r="B6151">
        <v>583222</v>
      </c>
      <c r="C6151">
        <v>5881627</v>
      </c>
      <c r="D6151">
        <v>21</v>
      </c>
      <c r="E6151" t="s">
        <v>15</v>
      </c>
      <c r="F6151" t="s">
        <v>13968</v>
      </c>
      <c r="G6151">
        <v>5</v>
      </c>
      <c r="H6151" t="s">
        <v>1462</v>
      </c>
      <c r="I6151" t="s">
        <v>195</v>
      </c>
      <c r="J6151" t="s">
        <v>1463</v>
      </c>
      <c r="K6151" t="s">
        <v>20</v>
      </c>
      <c r="L6151" t="s">
        <v>13969</v>
      </c>
      <c r="M6151" s="3" t="str">
        <f>HYPERLINK("..\..\Imagery\ScannedPhotos\1985\VN85-495.2E.jpg")</f>
        <v>..\..\Imagery\ScannedPhotos\1985\VN85-495.2E.jpg</v>
      </c>
      <c r="N6151" t="s">
        <v>1808</v>
      </c>
    </row>
    <row r="6152" spans="1:14" x14ac:dyDescent="0.25">
      <c r="A6152" t="s">
        <v>9951</v>
      </c>
      <c r="B6152">
        <v>583222</v>
      </c>
      <c r="C6152">
        <v>5881627</v>
      </c>
      <c r="D6152">
        <v>21</v>
      </c>
      <c r="E6152" t="s">
        <v>15</v>
      </c>
      <c r="F6152" t="s">
        <v>13970</v>
      </c>
      <c r="G6152">
        <v>5</v>
      </c>
      <c r="H6152" t="s">
        <v>1462</v>
      </c>
      <c r="I6152" t="s">
        <v>647</v>
      </c>
      <c r="J6152" t="s">
        <v>1463</v>
      </c>
      <c r="K6152" t="s">
        <v>56</v>
      </c>
      <c r="L6152" t="s">
        <v>13971</v>
      </c>
      <c r="M6152" s="3" t="str">
        <f>HYPERLINK("..\..\Imagery\ScannedPhotos\1985\VN85-495.5cropped.jpg")</f>
        <v>..\..\Imagery\ScannedPhotos\1985\VN85-495.5cropped.jpg</v>
      </c>
      <c r="N6152" t="s">
        <v>4297</v>
      </c>
    </row>
    <row r="6153" spans="1:14" x14ac:dyDescent="0.25">
      <c r="A6153" t="s">
        <v>13972</v>
      </c>
      <c r="B6153">
        <v>582411</v>
      </c>
      <c r="C6153">
        <v>5884402</v>
      </c>
      <c r="D6153">
        <v>21</v>
      </c>
      <c r="E6153" t="s">
        <v>15</v>
      </c>
      <c r="F6153" t="s">
        <v>13973</v>
      </c>
      <c r="G6153">
        <v>1</v>
      </c>
      <c r="H6153" t="s">
        <v>1378</v>
      </c>
      <c r="I6153" t="s">
        <v>25</v>
      </c>
      <c r="J6153" t="s">
        <v>628</v>
      </c>
      <c r="K6153" t="s">
        <v>228</v>
      </c>
      <c r="L6153" t="s">
        <v>13974</v>
      </c>
      <c r="M6153" s="3" t="str">
        <f>HYPERLINK("..\..\Imagery\ScannedPhotos\1985\VN85-552E.jpg")</f>
        <v>..\..\Imagery\ScannedPhotos\1985\VN85-552E.jpg</v>
      </c>
      <c r="N6153" t="s">
        <v>1808</v>
      </c>
    </row>
    <row r="6154" spans="1:14" x14ac:dyDescent="0.25">
      <c r="A6154" t="s">
        <v>13975</v>
      </c>
      <c r="B6154">
        <v>584679</v>
      </c>
      <c r="C6154">
        <v>5898275</v>
      </c>
      <c r="D6154">
        <v>21</v>
      </c>
      <c r="E6154" t="s">
        <v>15</v>
      </c>
      <c r="F6154" t="s">
        <v>13976</v>
      </c>
      <c r="G6154">
        <v>1</v>
      </c>
      <c r="H6154" t="s">
        <v>627</v>
      </c>
      <c r="I6154" t="s">
        <v>386</v>
      </c>
      <c r="J6154" t="s">
        <v>628</v>
      </c>
      <c r="K6154" t="s">
        <v>228</v>
      </c>
      <c r="L6154" t="s">
        <v>13977</v>
      </c>
      <c r="M6154" s="3" t="str">
        <f>HYPERLINK("..\..\Imagery\ScannedPhotos\1985\VN85-572E.jpg")</f>
        <v>..\..\Imagery\ScannedPhotos\1985\VN85-572E.jpg</v>
      </c>
      <c r="N6154" t="s">
        <v>1808</v>
      </c>
    </row>
    <row r="6155" spans="1:14" x14ac:dyDescent="0.25">
      <c r="A6155" t="s">
        <v>6734</v>
      </c>
      <c r="B6155">
        <v>566896</v>
      </c>
      <c r="C6155">
        <v>5935605</v>
      </c>
      <c r="D6155">
        <v>21</v>
      </c>
      <c r="E6155" t="s">
        <v>15</v>
      </c>
      <c r="F6155" t="s">
        <v>13978</v>
      </c>
      <c r="G6155">
        <v>2</v>
      </c>
      <c r="H6155" t="s">
        <v>2687</v>
      </c>
      <c r="I6155" t="s">
        <v>360</v>
      </c>
      <c r="J6155" t="s">
        <v>1463</v>
      </c>
      <c r="K6155" t="s">
        <v>20</v>
      </c>
      <c r="L6155" t="s">
        <v>6736</v>
      </c>
      <c r="M6155" s="3" t="str">
        <f>HYPERLINK("..\..\Imagery\ScannedPhotos\1985\VN85-629.2E.jpg")</f>
        <v>..\..\Imagery\ScannedPhotos\1985\VN85-629.2E.jpg</v>
      </c>
      <c r="N6155" t="s">
        <v>1808</v>
      </c>
    </row>
    <row r="6156" spans="1:14" x14ac:dyDescent="0.25">
      <c r="A6156" t="s">
        <v>13979</v>
      </c>
      <c r="B6156">
        <v>549154</v>
      </c>
      <c r="C6156">
        <v>5819336</v>
      </c>
      <c r="D6156">
        <v>21</v>
      </c>
      <c r="E6156" t="s">
        <v>15</v>
      </c>
      <c r="F6156" t="s">
        <v>13980</v>
      </c>
      <c r="G6156">
        <v>1</v>
      </c>
      <c r="H6156" t="s">
        <v>24</v>
      </c>
      <c r="I6156" t="s">
        <v>386</v>
      </c>
      <c r="J6156" t="s">
        <v>26</v>
      </c>
      <c r="K6156" t="s">
        <v>228</v>
      </c>
      <c r="L6156" t="s">
        <v>13981</v>
      </c>
      <c r="M6156" s="3" t="str">
        <f>HYPERLINK("..\..\Imagery\ScannedPhotos\1986\CG86-010E.jpg")</f>
        <v>..\..\Imagery\ScannedPhotos\1986\CG86-010E.jpg</v>
      </c>
      <c r="N6156" t="s">
        <v>1808</v>
      </c>
    </row>
    <row r="6157" spans="1:14" x14ac:dyDescent="0.25">
      <c r="A6157" t="s">
        <v>14</v>
      </c>
      <c r="B6157">
        <v>551495</v>
      </c>
      <c r="C6157">
        <v>5821595</v>
      </c>
      <c r="D6157">
        <v>21</v>
      </c>
      <c r="E6157" t="s">
        <v>15</v>
      </c>
      <c r="F6157" t="s">
        <v>13982</v>
      </c>
      <c r="G6157">
        <v>16</v>
      </c>
      <c r="H6157" t="s">
        <v>17</v>
      </c>
      <c r="I6157" t="s">
        <v>137</v>
      </c>
      <c r="J6157" t="s">
        <v>19</v>
      </c>
      <c r="K6157" t="s">
        <v>20</v>
      </c>
      <c r="L6157" t="s">
        <v>13983</v>
      </c>
      <c r="M6157" s="3" t="str">
        <f>HYPERLINK("..\..\Imagery\ScannedPhotos\1986\CG86-018.11cropped.jpg")</f>
        <v>..\..\Imagery\ScannedPhotos\1986\CG86-018.11cropped.jpg</v>
      </c>
      <c r="N6157" t="s">
        <v>4297</v>
      </c>
    </row>
    <row r="6158" spans="1:14" x14ac:dyDescent="0.25">
      <c r="A6158" t="s">
        <v>22</v>
      </c>
      <c r="B6158">
        <v>552268</v>
      </c>
      <c r="C6158">
        <v>5821654</v>
      </c>
      <c r="D6158">
        <v>21</v>
      </c>
      <c r="E6158" t="s">
        <v>15</v>
      </c>
      <c r="F6158" t="s">
        <v>13984</v>
      </c>
      <c r="G6158">
        <v>2</v>
      </c>
      <c r="H6158" t="s">
        <v>24</v>
      </c>
      <c r="I6158" t="s">
        <v>360</v>
      </c>
      <c r="J6158" t="s">
        <v>26</v>
      </c>
      <c r="K6158" t="s">
        <v>20</v>
      </c>
      <c r="L6158" t="s">
        <v>13985</v>
      </c>
      <c r="M6158" s="3" t="str">
        <f>HYPERLINK("..\..\Imagery\ScannedPhotos\1986\CG86-019.2cropped.jpg")</f>
        <v>..\..\Imagery\ScannedPhotos\1986\CG86-019.2cropped.jpg</v>
      </c>
      <c r="N6158" t="s">
        <v>4297</v>
      </c>
    </row>
    <row r="6159" spans="1:14" x14ac:dyDescent="0.25">
      <c r="A6159" t="s">
        <v>13986</v>
      </c>
      <c r="B6159">
        <v>559863</v>
      </c>
      <c r="C6159">
        <v>5818034</v>
      </c>
      <c r="D6159">
        <v>21</v>
      </c>
      <c r="E6159" t="s">
        <v>15</v>
      </c>
      <c r="F6159" t="s">
        <v>13987</v>
      </c>
      <c r="G6159">
        <v>1</v>
      </c>
      <c r="H6159" t="s">
        <v>24</v>
      </c>
      <c r="I6159" t="s">
        <v>122</v>
      </c>
      <c r="J6159" t="s">
        <v>26</v>
      </c>
      <c r="K6159" t="s">
        <v>20</v>
      </c>
      <c r="L6159" t="s">
        <v>6232</v>
      </c>
      <c r="M6159" s="3" t="str">
        <f>HYPERLINK("..\..\Imagery\ScannedPhotos\1986\CG86-037cropped.jpg")</f>
        <v>..\..\Imagery\ScannedPhotos\1986\CG86-037cropped.jpg</v>
      </c>
      <c r="N6159" t="s">
        <v>4297</v>
      </c>
    </row>
    <row r="6160" spans="1:14" x14ac:dyDescent="0.25">
      <c r="A6160" t="s">
        <v>3939</v>
      </c>
      <c r="B6160">
        <v>547654</v>
      </c>
      <c r="C6160">
        <v>5822263</v>
      </c>
      <c r="D6160">
        <v>21</v>
      </c>
      <c r="E6160" t="s">
        <v>15</v>
      </c>
      <c r="F6160" t="s">
        <v>13988</v>
      </c>
      <c r="G6160">
        <v>1</v>
      </c>
      <c r="H6160" t="s">
        <v>656</v>
      </c>
      <c r="I6160" t="s">
        <v>74</v>
      </c>
      <c r="J6160" t="s">
        <v>657</v>
      </c>
      <c r="K6160" t="s">
        <v>228</v>
      </c>
      <c r="L6160" t="s">
        <v>13989</v>
      </c>
      <c r="M6160" s="3" t="str">
        <f>HYPERLINK("..\..\Imagery\ScannedPhotos\1986\CG86-088.2E.jpg")</f>
        <v>..\..\Imagery\ScannedPhotos\1986\CG86-088.2E.jpg</v>
      </c>
      <c r="N6160" t="s">
        <v>1808</v>
      </c>
    </row>
    <row r="6161" spans="1:14" x14ac:dyDescent="0.25">
      <c r="A6161" t="s">
        <v>3939</v>
      </c>
      <c r="B6161">
        <v>547654</v>
      </c>
      <c r="C6161">
        <v>5822263</v>
      </c>
      <c r="D6161">
        <v>21</v>
      </c>
      <c r="E6161" t="s">
        <v>15</v>
      </c>
      <c r="F6161" t="s">
        <v>13990</v>
      </c>
      <c r="G6161">
        <v>1</v>
      </c>
      <c r="H6161" t="s">
        <v>656</v>
      </c>
      <c r="I6161" t="s">
        <v>375</v>
      </c>
      <c r="J6161" t="s">
        <v>657</v>
      </c>
      <c r="K6161" t="s">
        <v>535</v>
      </c>
      <c r="L6161" t="s">
        <v>13991</v>
      </c>
      <c r="M6161" s="3" t="str">
        <f>HYPERLINK("..\..\Imagery\ScannedPhotos\1986\CG86-088.4E.jpg")</f>
        <v>..\..\Imagery\ScannedPhotos\1986\CG86-088.4E.jpg</v>
      </c>
      <c r="N6161" t="s">
        <v>1808</v>
      </c>
    </row>
    <row r="6162" spans="1:14" x14ac:dyDescent="0.25">
      <c r="A6162" t="s">
        <v>3939</v>
      </c>
      <c r="B6162">
        <v>547654</v>
      </c>
      <c r="C6162">
        <v>5822263</v>
      </c>
      <c r="D6162">
        <v>21</v>
      </c>
      <c r="E6162" t="s">
        <v>15</v>
      </c>
      <c r="F6162" t="s">
        <v>13992</v>
      </c>
      <c r="G6162">
        <v>1</v>
      </c>
      <c r="H6162" t="s">
        <v>656</v>
      </c>
      <c r="I6162" t="s">
        <v>94</v>
      </c>
      <c r="J6162" t="s">
        <v>657</v>
      </c>
      <c r="K6162" t="s">
        <v>535</v>
      </c>
      <c r="L6162" t="s">
        <v>13993</v>
      </c>
      <c r="M6162" s="3" t="str">
        <f>HYPERLINK("..\..\Imagery\ScannedPhotos\1986\CG86-088.5E.jpg")</f>
        <v>..\..\Imagery\ScannedPhotos\1986\CG86-088.5E.jpg</v>
      </c>
      <c r="N6162" t="s">
        <v>1808</v>
      </c>
    </row>
    <row r="6163" spans="1:14" x14ac:dyDescent="0.25">
      <c r="A6163" t="s">
        <v>3939</v>
      </c>
      <c r="B6163">
        <v>547654</v>
      </c>
      <c r="C6163">
        <v>5822263</v>
      </c>
      <c r="D6163">
        <v>21</v>
      </c>
      <c r="E6163" t="s">
        <v>15</v>
      </c>
      <c r="F6163" t="s">
        <v>13994</v>
      </c>
      <c r="G6163">
        <v>1</v>
      </c>
      <c r="H6163" t="s">
        <v>656</v>
      </c>
      <c r="I6163" t="s">
        <v>209</v>
      </c>
      <c r="J6163" t="s">
        <v>657</v>
      </c>
      <c r="K6163" t="s">
        <v>535</v>
      </c>
      <c r="L6163" t="s">
        <v>13995</v>
      </c>
      <c r="M6163" s="3" t="str">
        <f>HYPERLINK("..\..\Imagery\ScannedPhotos\1986\CG86-088.6E.jpg")</f>
        <v>..\..\Imagery\ScannedPhotos\1986\CG86-088.6E.jpg</v>
      </c>
      <c r="N6163" t="s">
        <v>1808</v>
      </c>
    </row>
    <row r="6164" spans="1:14" x14ac:dyDescent="0.25">
      <c r="A6164" t="s">
        <v>3939</v>
      </c>
      <c r="B6164">
        <v>547654</v>
      </c>
      <c r="C6164">
        <v>5822263</v>
      </c>
      <c r="D6164">
        <v>21</v>
      </c>
      <c r="E6164" t="s">
        <v>15</v>
      </c>
      <c r="F6164" t="s">
        <v>13996</v>
      </c>
      <c r="G6164">
        <v>1</v>
      </c>
      <c r="H6164" t="s">
        <v>1232</v>
      </c>
      <c r="I6164" t="s">
        <v>209</v>
      </c>
      <c r="J6164" t="s">
        <v>1233</v>
      </c>
      <c r="K6164" t="s">
        <v>228</v>
      </c>
      <c r="L6164" t="s">
        <v>13997</v>
      </c>
      <c r="M6164" s="3" t="str">
        <f>HYPERLINK("..\..\Imagery\ScannedPhotos\1986\CG86-088.8E.jpg")</f>
        <v>..\..\Imagery\ScannedPhotos\1986\CG86-088.8E.jpg</v>
      </c>
      <c r="N6164" t="s">
        <v>1808</v>
      </c>
    </row>
    <row r="6165" spans="1:14" x14ac:dyDescent="0.25">
      <c r="A6165" t="s">
        <v>3939</v>
      </c>
      <c r="B6165">
        <v>547654</v>
      </c>
      <c r="C6165">
        <v>5822263</v>
      </c>
      <c r="D6165">
        <v>21</v>
      </c>
      <c r="E6165" t="s">
        <v>15</v>
      </c>
      <c r="F6165" t="s">
        <v>13998</v>
      </c>
      <c r="G6165">
        <v>1</v>
      </c>
      <c r="H6165" t="s">
        <v>1750</v>
      </c>
      <c r="I6165" t="s">
        <v>119</v>
      </c>
      <c r="J6165" t="s">
        <v>1751</v>
      </c>
      <c r="K6165" t="s">
        <v>228</v>
      </c>
      <c r="L6165" t="s">
        <v>13999</v>
      </c>
      <c r="M6165" s="3" t="str">
        <f>HYPERLINK("..\..\Imagery\ScannedPhotos\1986\CG86-088.13E.jpg")</f>
        <v>..\..\Imagery\ScannedPhotos\1986\CG86-088.13E.jpg</v>
      </c>
      <c r="N6165" t="s">
        <v>1808</v>
      </c>
    </row>
    <row r="6166" spans="1:14" x14ac:dyDescent="0.25">
      <c r="A6166" t="s">
        <v>1941</v>
      </c>
      <c r="B6166">
        <v>523971</v>
      </c>
      <c r="C6166">
        <v>5869486</v>
      </c>
      <c r="D6166">
        <v>21</v>
      </c>
      <c r="E6166" t="s">
        <v>15</v>
      </c>
      <c r="F6166" t="s">
        <v>14000</v>
      </c>
      <c r="G6166">
        <v>3</v>
      </c>
      <c r="H6166" t="s">
        <v>656</v>
      </c>
      <c r="I6166" t="s">
        <v>304</v>
      </c>
      <c r="J6166" t="s">
        <v>657</v>
      </c>
      <c r="K6166" t="s">
        <v>228</v>
      </c>
      <c r="L6166" t="s">
        <v>14001</v>
      </c>
      <c r="M6166" s="3" t="str">
        <f>HYPERLINK("..\..\Imagery\ScannedPhotos\1986\CG86-097.3E.jpg")</f>
        <v>..\..\Imagery\ScannedPhotos\1986\CG86-097.3E.jpg</v>
      </c>
      <c r="N6166" t="s">
        <v>1808</v>
      </c>
    </row>
    <row r="6167" spans="1:14" x14ac:dyDescent="0.25">
      <c r="A6167" t="s">
        <v>7667</v>
      </c>
      <c r="B6167">
        <v>564640</v>
      </c>
      <c r="C6167">
        <v>5870736</v>
      </c>
      <c r="D6167">
        <v>21</v>
      </c>
      <c r="E6167" t="s">
        <v>15</v>
      </c>
      <c r="F6167" t="s">
        <v>14002</v>
      </c>
      <c r="G6167">
        <v>3</v>
      </c>
      <c r="H6167" t="s">
        <v>201</v>
      </c>
      <c r="I6167" t="s">
        <v>209</v>
      </c>
      <c r="J6167" t="s">
        <v>202</v>
      </c>
      <c r="K6167" t="s">
        <v>228</v>
      </c>
      <c r="L6167" t="s">
        <v>14003</v>
      </c>
      <c r="M6167" s="3" t="str">
        <f>HYPERLINK("..\..\Imagery\ScannedPhotos\1986\CG86-115.3E.jpg")</f>
        <v>..\..\Imagery\ScannedPhotos\1986\CG86-115.3E.jpg</v>
      </c>
      <c r="N6167" t="s">
        <v>1808</v>
      </c>
    </row>
    <row r="6168" spans="1:14" x14ac:dyDescent="0.25">
      <c r="A6168" t="s">
        <v>1238</v>
      </c>
      <c r="B6168">
        <v>555493</v>
      </c>
      <c r="C6168">
        <v>5862037</v>
      </c>
      <c r="D6168">
        <v>21</v>
      </c>
      <c r="E6168" t="s">
        <v>15</v>
      </c>
      <c r="F6168" t="s">
        <v>14004</v>
      </c>
      <c r="G6168">
        <v>5</v>
      </c>
      <c r="H6168" t="s">
        <v>1232</v>
      </c>
      <c r="I6168" t="s">
        <v>129</v>
      </c>
      <c r="J6168" t="s">
        <v>1233</v>
      </c>
      <c r="K6168" t="s">
        <v>56</v>
      </c>
      <c r="L6168" t="s">
        <v>1242</v>
      </c>
      <c r="M6168" s="3" t="str">
        <f>HYPERLINK("..\..\Imagery\ScannedPhotos\1986\CG86-268.2cropped.jpg")</f>
        <v>..\..\Imagery\ScannedPhotos\1986\CG86-268.2cropped.jpg</v>
      </c>
      <c r="N6168" t="s">
        <v>4297</v>
      </c>
    </row>
    <row r="6169" spans="1:14" x14ac:dyDescent="0.25">
      <c r="A6169" t="s">
        <v>8912</v>
      </c>
      <c r="B6169">
        <v>503913</v>
      </c>
      <c r="C6169">
        <v>5831252</v>
      </c>
      <c r="D6169">
        <v>21</v>
      </c>
      <c r="E6169" t="s">
        <v>15</v>
      </c>
      <c r="F6169" t="s">
        <v>14005</v>
      </c>
      <c r="G6169">
        <v>3</v>
      </c>
      <c r="H6169" t="s">
        <v>7534</v>
      </c>
      <c r="I6169" t="s">
        <v>281</v>
      </c>
      <c r="J6169" t="s">
        <v>1233</v>
      </c>
      <c r="K6169" t="s">
        <v>20</v>
      </c>
      <c r="L6169" t="s">
        <v>4133</v>
      </c>
      <c r="M6169" s="3" t="str">
        <f>HYPERLINK("..\..\Imagery\ScannedPhotos\1986\CG86-327.3cropped.jpg")</f>
        <v>..\..\Imagery\ScannedPhotos\1986\CG86-327.3cropped.jpg</v>
      </c>
      <c r="N6169" t="s">
        <v>4297</v>
      </c>
    </row>
    <row r="6170" spans="1:14" x14ac:dyDescent="0.25">
      <c r="A6170" t="s">
        <v>9424</v>
      </c>
      <c r="B6170">
        <v>503527</v>
      </c>
      <c r="C6170">
        <v>5830700</v>
      </c>
      <c r="D6170">
        <v>21</v>
      </c>
      <c r="E6170" t="s">
        <v>15</v>
      </c>
      <c r="F6170" t="s">
        <v>14006</v>
      </c>
      <c r="G6170">
        <v>2</v>
      </c>
      <c r="H6170" t="s">
        <v>7534</v>
      </c>
      <c r="I6170" t="s">
        <v>18</v>
      </c>
      <c r="J6170" t="s">
        <v>1233</v>
      </c>
      <c r="K6170" t="s">
        <v>56</v>
      </c>
      <c r="L6170" t="s">
        <v>9426</v>
      </c>
      <c r="M6170" s="3" t="str">
        <f>HYPERLINK("..\..\Imagery\ScannedPhotos\1986\CG86-329.2cropped.jpg")</f>
        <v>..\..\Imagery\ScannedPhotos\1986\CG86-329.2cropped.jpg</v>
      </c>
      <c r="N6170" t="s">
        <v>4297</v>
      </c>
    </row>
    <row r="6171" spans="1:14" x14ac:dyDescent="0.25">
      <c r="A6171" t="s">
        <v>14007</v>
      </c>
      <c r="B6171">
        <v>561653</v>
      </c>
      <c r="C6171">
        <v>5834411</v>
      </c>
      <c r="D6171">
        <v>21</v>
      </c>
      <c r="E6171" t="s">
        <v>15</v>
      </c>
      <c r="F6171" t="s">
        <v>14008</v>
      </c>
      <c r="G6171">
        <v>1</v>
      </c>
      <c r="H6171" t="s">
        <v>7534</v>
      </c>
      <c r="I6171" t="s">
        <v>119</v>
      </c>
      <c r="J6171" t="s">
        <v>1233</v>
      </c>
      <c r="K6171" t="s">
        <v>20</v>
      </c>
      <c r="L6171" t="s">
        <v>14009</v>
      </c>
      <c r="M6171" s="3" t="str">
        <f>HYPERLINK("..\..\Imagery\ScannedPhotos\1986\CG86-383cropped.jpg")</f>
        <v>..\..\Imagery\ScannedPhotos\1986\CG86-383cropped.jpg</v>
      </c>
      <c r="N6171" t="s">
        <v>4297</v>
      </c>
    </row>
    <row r="6172" spans="1:14" x14ac:dyDescent="0.25">
      <c r="A6172" t="s">
        <v>14010</v>
      </c>
      <c r="B6172">
        <v>576925</v>
      </c>
      <c r="C6172">
        <v>5863252</v>
      </c>
      <c r="D6172">
        <v>21</v>
      </c>
      <c r="E6172" t="s">
        <v>15</v>
      </c>
      <c r="F6172" t="s">
        <v>14011</v>
      </c>
      <c r="G6172">
        <v>1</v>
      </c>
      <c r="H6172" t="s">
        <v>7534</v>
      </c>
      <c r="I6172" t="s">
        <v>132</v>
      </c>
      <c r="J6172" t="s">
        <v>1233</v>
      </c>
      <c r="K6172" t="s">
        <v>56</v>
      </c>
      <c r="L6172" t="s">
        <v>14012</v>
      </c>
      <c r="M6172" s="3" t="str">
        <f>HYPERLINK("..\..\Imagery\ScannedPhotos\1986\CG86-393cropped.jpg")</f>
        <v>..\..\Imagery\ScannedPhotos\1986\CG86-393cropped.jpg</v>
      </c>
      <c r="N6172" t="s">
        <v>4297</v>
      </c>
    </row>
    <row r="6173" spans="1:14" x14ac:dyDescent="0.25">
      <c r="A6173" t="s">
        <v>9130</v>
      </c>
      <c r="B6173">
        <v>544607</v>
      </c>
      <c r="C6173">
        <v>5840455</v>
      </c>
      <c r="D6173">
        <v>21</v>
      </c>
      <c r="E6173" t="s">
        <v>15</v>
      </c>
      <c r="F6173" t="s">
        <v>14013</v>
      </c>
      <c r="G6173">
        <v>9</v>
      </c>
      <c r="H6173" t="s">
        <v>2945</v>
      </c>
      <c r="I6173" t="s">
        <v>79</v>
      </c>
      <c r="J6173" t="s">
        <v>300</v>
      </c>
      <c r="K6173" t="s">
        <v>228</v>
      </c>
      <c r="L6173" t="s">
        <v>9135</v>
      </c>
      <c r="M6173" s="3" t="str">
        <f>HYPERLINK("..\..\Imagery\ScannedPhotos\1986\CG86-490.1E.jpg")</f>
        <v>..\..\Imagery\ScannedPhotos\1986\CG86-490.1E.jpg</v>
      </c>
      <c r="N6173" t="s">
        <v>1808</v>
      </c>
    </row>
    <row r="6174" spans="1:14" x14ac:dyDescent="0.25">
      <c r="A6174" t="s">
        <v>9130</v>
      </c>
      <c r="B6174">
        <v>544607</v>
      </c>
      <c r="C6174">
        <v>5840455</v>
      </c>
      <c r="D6174">
        <v>21</v>
      </c>
      <c r="E6174" t="s">
        <v>15</v>
      </c>
      <c r="F6174" t="s">
        <v>14014</v>
      </c>
      <c r="G6174">
        <v>9</v>
      </c>
      <c r="H6174" t="s">
        <v>2945</v>
      </c>
      <c r="I6174" t="s">
        <v>18</v>
      </c>
      <c r="J6174" t="s">
        <v>300</v>
      </c>
      <c r="K6174" t="s">
        <v>56</v>
      </c>
      <c r="L6174" t="s">
        <v>9132</v>
      </c>
      <c r="M6174" s="3" t="str">
        <f>HYPERLINK("..\..\Imagery\ScannedPhotos\1986\CG86-490.4cropped.jpg")</f>
        <v>..\..\Imagery\ScannedPhotos\1986\CG86-490.4cropped.jpg</v>
      </c>
      <c r="N6174" t="s">
        <v>4297</v>
      </c>
    </row>
    <row r="6175" spans="1:14" x14ac:dyDescent="0.25">
      <c r="A6175" t="s">
        <v>9130</v>
      </c>
      <c r="B6175">
        <v>544607</v>
      </c>
      <c r="C6175">
        <v>5840455</v>
      </c>
      <c r="D6175">
        <v>21</v>
      </c>
      <c r="E6175" t="s">
        <v>15</v>
      </c>
      <c r="F6175" t="s">
        <v>14015</v>
      </c>
      <c r="G6175">
        <v>9</v>
      </c>
      <c r="H6175" t="s">
        <v>2945</v>
      </c>
      <c r="I6175" t="s">
        <v>69</v>
      </c>
      <c r="J6175" t="s">
        <v>300</v>
      </c>
      <c r="K6175" t="s">
        <v>20</v>
      </c>
      <c r="L6175" t="s">
        <v>9132</v>
      </c>
      <c r="M6175" s="3" t="str">
        <f>HYPERLINK("..\..\Imagery\ScannedPhotos\1986\CG86-490.6E.jpg")</f>
        <v>..\..\Imagery\ScannedPhotos\1986\CG86-490.6E.jpg</v>
      </c>
      <c r="N6175" t="s">
        <v>1808</v>
      </c>
    </row>
    <row r="6176" spans="1:14" x14ac:dyDescent="0.25">
      <c r="A6176" t="s">
        <v>9130</v>
      </c>
      <c r="B6176">
        <v>544607</v>
      </c>
      <c r="C6176">
        <v>5840455</v>
      </c>
      <c r="D6176">
        <v>21</v>
      </c>
      <c r="E6176" t="s">
        <v>15</v>
      </c>
      <c r="F6176" t="s">
        <v>14016</v>
      </c>
      <c r="G6176">
        <v>9</v>
      </c>
      <c r="H6176" t="s">
        <v>60</v>
      </c>
      <c r="I6176" t="s">
        <v>209</v>
      </c>
      <c r="J6176" t="s">
        <v>61</v>
      </c>
      <c r="K6176" t="s">
        <v>228</v>
      </c>
      <c r="L6176" t="s">
        <v>14017</v>
      </c>
      <c r="M6176" s="3" t="str">
        <f>HYPERLINK("..\..\Imagery\ScannedPhotos\1986\CG86-490.9E.jpg")</f>
        <v>..\..\Imagery\ScannedPhotos\1986\CG86-490.9E.jpg</v>
      </c>
      <c r="N6176" t="s">
        <v>1808</v>
      </c>
    </row>
    <row r="6177" spans="1:14" x14ac:dyDescent="0.25">
      <c r="A6177" t="s">
        <v>2943</v>
      </c>
      <c r="B6177">
        <v>573500</v>
      </c>
      <c r="C6177">
        <v>5854767</v>
      </c>
      <c r="D6177">
        <v>21</v>
      </c>
      <c r="E6177" t="s">
        <v>15</v>
      </c>
      <c r="F6177" t="s">
        <v>14018</v>
      </c>
      <c r="G6177">
        <v>2</v>
      </c>
      <c r="H6177" t="s">
        <v>2945</v>
      </c>
      <c r="I6177" t="s">
        <v>375</v>
      </c>
      <c r="J6177" t="s">
        <v>300</v>
      </c>
      <c r="K6177" t="s">
        <v>56</v>
      </c>
      <c r="L6177" t="s">
        <v>3630</v>
      </c>
      <c r="M6177" s="3" t="str">
        <f>HYPERLINK("..\..\Imagery\ScannedPhotos\1986\CG86-503.2cropped.jpg")</f>
        <v>..\..\Imagery\ScannedPhotos\1986\CG86-503.2cropped.jpg</v>
      </c>
      <c r="N6177" t="s">
        <v>4297</v>
      </c>
    </row>
    <row r="6178" spans="1:14" x14ac:dyDescent="0.25">
      <c r="A6178" t="s">
        <v>2947</v>
      </c>
      <c r="B6178">
        <v>573433</v>
      </c>
      <c r="C6178">
        <v>5854571</v>
      </c>
      <c r="D6178">
        <v>21</v>
      </c>
      <c r="E6178" t="s">
        <v>15</v>
      </c>
      <c r="F6178" t="s">
        <v>14019</v>
      </c>
      <c r="G6178">
        <v>2</v>
      </c>
      <c r="H6178" t="s">
        <v>2945</v>
      </c>
      <c r="I6178" t="s">
        <v>209</v>
      </c>
      <c r="J6178" t="s">
        <v>300</v>
      </c>
      <c r="K6178" t="s">
        <v>56</v>
      </c>
      <c r="L6178" t="s">
        <v>2949</v>
      </c>
      <c r="M6178" s="3" t="str">
        <f>HYPERLINK("..\..\Imagery\ScannedPhotos\1986\CG86-504.2cropped.jpg")</f>
        <v>..\..\Imagery\ScannedPhotos\1986\CG86-504.2cropped.jpg</v>
      </c>
      <c r="N6178" t="s">
        <v>4297</v>
      </c>
    </row>
    <row r="6179" spans="1:14" x14ac:dyDescent="0.25">
      <c r="A6179" t="s">
        <v>14020</v>
      </c>
      <c r="B6179">
        <v>573178</v>
      </c>
      <c r="C6179">
        <v>5853645</v>
      </c>
      <c r="D6179">
        <v>21</v>
      </c>
      <c r="E6179" t="s">
        <v>15</v>
      </c>
      <c r="F6179" t="s">
        <v>14021</v>
      </c>
      <c r="G6179">
        <v>1</v>
      </c>
      <c r="H6179" t="s">
        <v>2945</v>
      </c>
      <c r="I6179" t="s">
        <v>214</v>
      </c>
      <c r="J6179" t="s">
        <v>300</v>
      </c>
      <c r="K6179" t="s">
        <v>20</v>
      </c>
      <c r="L6179" t="s">
        <v>3630</v>
      </c>
      <c r="M6179" s="3" t="str">
        <f>HYPERLINK("..\..\Imagery\ScannedPhotos\1986\CG86-506cropped.jpg")</f>
        <v>..\..\Imagery\ScannedPhotos\1986\CG86-506cropped.jpg</v>
      </c>
      <c r="N6179" t="s">
        <v>4297</v>
      </c>
    </row>
    <row r="6180" spans="1:14" x14ac:dyDescent="0.25">
      <c r="A6180" t="s">
        <v>14022</v>
      </c>
      <c r="B6180">
        <v>573071</v>
      </c>
      <c r="C6180">
        <v>5853411</v>
      </c>
      <c r="D6180">
        <v>21</v>
      </c>
      <c r="E6180" t="s">
        <v>15</v>
      </c>
      <c r="F6180" t="s">
        <v>14023</v>
      </c>
      <c r="G6180">
        <v>1</v>
      </c>
      <c r="H6180" t="s">
        <v>2945</v>
      </c>
      <c r="I6180" t="s">
        <v>222</v>
      </c>
      <c r="J6180" t="s">
        <v>300</v>
      </c>
      <c r="K6180" t="s">
        <v>20</v>
      </c>
      <c r="L6180" t="s">
        <v>14024</v>
      </c>
      <c r="M6180" s="3" t="str">
        <f>HYPERLINK("..\..\Imagery\ScannedPhotos\1986\CG86-507cropped.jpg")</f>
        <v>..\..\Imagery\ScannedPhotos\1986\CG86-507cropped.jpg</v>
      </c>
      <c r="N6180" t="s">
        <v>4297</v>
      </c>
    </row>
    <row r="6181" spans="1:14" x14ac:dyDescent="0.25">
      <c r="A6181" t="s">
        <v>2731</v>
      </c>
      <c r="B6181">
        <v>579966</v>
      </c>
      <c r="C6181">
        <v>5850649</v>
      </c>
      <c r="D6181">
        <v>21</v>
      </c>
      <c r="E6181" t="s">
        <v>15</v>
      </c>
      <c r="F6181" t="s">
        <v>14025</v>
      </c>
      <c r="G6181">
        <v>18</v>
      </c>
      <c r="H6181" t="s">
        <v>2945</v>
      </c>
      <c r="I6181" t="s">
        <v>119</v>
      </c>
      <c r="J6181" t="s">
        <v>300</v>
      </c>
      <c r="K6181" t="s">
        <v>20</v>
      </c>
      <c r="L6181" t="s">
        <v>14026</v>
      </c>
      <c r="M6181" s="3" t="str">
        <f>HYPERLINK("..\..\Imagery\ScannedPhotos\1986\CG86-528.2E.jpg")</f>
        <v>..\..\Imagery\ScannedPhotos\1986\CG86-528.2E.jpg</v>
      </c>
      <c r="N6181" t="s">
        <v>1808</v>
      </c>
    </row>
    <row r="6182" spans="1:14" x14ac:dyDescent="0.25">
      <c r="A6182" t="s">
        <v>2731</v>
      </c>
      <c r="B6182">
        <v>579966</v>
      </c>
      <c r="C6182">
        <v>5850649</v>
      </c>
      <c r="D6182">
        <v>21</v>
      </c>
      <c r="E6182" t="s">
        <v>15</v>
      </c>
      <c r="F6182" t="s">
        <v>14027</v>
      </c>
      <c r="G6182">
        <v>18</v>
      </c>
      <c r="H6182" t="s">
        <v>2945</v>
      </c>
      <c r="I6182" t="s">
        <v>122</v>
      </c>
      <c r="J6182" t="s">
        <v>300</v>
      </c>
      <c r="K6182" t="s">
        <v>20</v>
      </c>
      <c r="L6182" t="s">
        <v>14028</v>
      </c>
      <c r="M6182" s="3" t="str">
        <f>HYPERLINK("..\..\Imagery\ScannedPhotos\1986\CG86-528.3E.jpg")</f>
        <v>..\..\Imagery\ScannedPhotos\1986\CG86-528.3E.jpg</v>
      </c>
      <c r="N6182" t="s">
        <v>1808</v>
      </c>
    </row>
    <row r="6183" spans="1:14" x14ac:dyDescent="0.25">
      <c r="A6183" t="s">
        <v>2731</v>
      </c>
      <c r="B6183">
        <v>579966</v>
      </c>
      <c r="C6183">
        <v>5850649</v>
      </c>
      <c r="D6183">
        <v>21</v>
      </c>
      <c r="E6183" t="s">
        <v>15</v>
      </c>
      <c r="F6183" t="s">
        <v>14029</v>
      </c>
      <c r="G6183">
        <v>18</v>
      </c>
      <c r="H6183" t="s">
        <v>2484</v>
      </c>
      <c r="I6183" t="s">
        <v>69</v>
      </c>
      <c r="J6183" t="s">
        <v>2485</v>
      </c>
      <c r="K6183" t="s">
        <v>20</v>
      </c>
      <c r="L6183" t="s">
        <v>2738</v>
      </c>
      <c r="M6183" s="3" t="str">
        <f>HYPERLINK("..\..\Imagery\ScannedPhotos\1986\CG86-528.6cropped.jpg")</f>
        <v>..\..\Imagery\ScannedPhotos\1986\CG86-528.6cropped.jpg</v>
      </c>
      <c r="N6183" t="s">
        <v>4297</v>
      </c>
    </row>
    <row r="6184" spans="1:14" x14ac:dyDescent="0.25">
      <c r="A6184" t="s">
        <v>2731</v>
      </c>
      <c r="B6184">
        <v>579966</v>
      </c>
      <c r="C6184">
        <v>5850649</v>
      </c>
      <c r="D6184">
        <v>21</v>
      </c>
      <c r="E6184" t="s">
        <v>15</v>
      </c>
      <c r="F6184" t="s">
        <v>14030</v>
      </c>
      <c r="G6184">
        <v>18</v>
      </c>
      <c r="H6184" t="s">
        <v>2484</v>
      </c>
      <c r="I6184" t="s">
        <v>74</v>
      </c>
      <c r="J6184" t="s">
        <v>2485</v>
      </c>
      <c r="K6184" t="s">
        <v>20</v>
      </c>
      <c r="L6184" t="s">
        <v>14031</v>
      </c>
      <c r="M6184" s="3" t="str">
        <f>HYPERLINK("..\..\Imagery\ScannedPhotos\1986\CG86-528.7cropped.jpg")</f>
        <v>..\..\Imagery\ScannedPhotos\1986\CG86-528.7cropped.jpg</v>
      </c>
      <c r="N6184" t="s">
        <v>4297</v>
      </c>
    </row>
    <row r="6185" spans="1:14" x14ac:dyDescent="0.25">
      <c r="A6185" t="s">
        <v>2731</v>
      </c>
      <c r="B6185">
        <v>579966</v>
      </c>
      <c r="C6185">
        <v>5850649</v>
      </c>
      <c r="D6185">
        <v>21</v>
      </c>
      <c r="E6185" t="s">
        <v>15</v>
      </c>
      <c r="F6185" t="s">
        <v>14032</v>
      </c>
      <c r="G6185">
        <v>18</v>
      </c>
      <c r="H6185" t="s">
        <v>2484</v>
      </c>
      <c r="I6185" t="s">
        <v>375</v>
      </c>
      <c r="J6185" t="s">
        <v>2485</v>
      </c>
      <c r="K6185" t="s">
        <v>20</v>
      </c>
      <c r="L6185" t="s">
        <v>11039</v>
      </c>
      <c r="M6185" s="3" t="str">
        <f>HYPERLINK("..\..\Imagery\ScannedPhotos\1986\CG86-528.10cropped.jpg")</f>
        <v>..\..\Imagery\ScannedPhotos\1986\CG86-528.10cropped.jpg</v>
      </c>
      <c r="N6185" t="s">
        <v>4297</v>
      </c>
    </row>
    <row r="6186" spans="1:14" x14ac:dyDescent="0.25">
      <c r="A6186" t="s">
        <v>2731</v>
      </c>
      <c r="B6186">
        <v>579966</v>
      </c>
      <c r="C6186">
        <v>5850649</v>
      </c>
      <c r="D6186">
        <v>21</v>
      </c>
      <c r="E6186" t="s">
        <v>15</v>
      </c>
      <c r="F6186" t="s">
        <v>14033</v>
      </c>
      <c r="G6186">
        <v>18</v>
      </c>
      <c r="H6186" t="s">
        <v>2733</v>
      </c>
      <c r="I6186" t="s">
        <v>41</v>
      </c>
      <c r="J6186" t="s">
        <v>814</v>
      </c>
      <c r="K6186" t="s">
        <v>228</v>
      </c>
      <c r="L6186" t="s">
        <v>14034</v>
      </c>
      <c r="M6186" s="3" t="str">
        <f>HYPERLINK("..\..\Imagery\ScannedPhotos\1986\CG86-528.11E.jpg")</f>
        <v>..\..\Imagery\ScannedPhotos\1986\CG86-528.11E.jpg</v>
      </c>
      <c r="N6186" t="s">
        <v>1808</v>
      </c>
    </row>
    <row r="6187" spans="1:14" x14ac:dyDescent="0.25">
      <c r="A6187" t="s">
        <v>2731</v>
      </c>
      <c r="B6187">
        <v>579966</v>
      </c>
      <c r="C6187">
        <v>5850649</v>
      </c>
      <c r="D6187">
        <v>21</v>
      </c>
      <c r="E6187" t="s">
        <v>15</v>
      </c>
      <c r="F6187" t="s">
        <v>14035</v>
      </c>
      <c r="G6187">
        <v>18</v>
      </c>
      <c r="H6187" t="s">
        <v>2733</v>
      </c>
      <c r="I6187" t="s">
        <v>85</v>
      </c>
      <c r="J6187" t="s">
        <v>814</v>
      </c>
      <c r="K6187" t="s">
        <v>228</v>
      </c>
      <c r="L6187" t="s">
        <v>14036</v>
      </c>
      <c r="M6187" s="3" t="str">
        <f>HYPERLINK("..\..\Imagery\ScannedPhotos\1986\CG86-528.12E.jpg")</f>
        <v>..\..\Imagery\ScannedPhotos\1986\CG86-528.12E.jpg</v>
      </c>
      <c r="N6187" t="s">
        <v>1808</v>
      </c>
    </row>
    <row r="6188" spans="1:14" x14ac:dyDescent="0.25">
      <c r="A6188" t="s">
        <v>2731</v>
      </c>
      <c r="B6188">
        <v>579966</v>
      </c>
      <c r="C6188">
        <v>5850649</v>
      </c>
      <c r="D6188">
        <v>21</v>
      </c>
      <c r="E6188" t="s">
        <v>15</v>
      </c>
      <c r="F6188" t="s">
        <v>14037</v>
      </c>
      <c r="G6188">
        <v>18</v>
      </c>
      <c r="H6188" t="s">
        <v>2733</v>
      </c>
      <c r="I6188" t="s">
        <v>375</v>
      </c>
      <c r="J6188" t="s">
        <v>814</v>
      </c>
      <c r="K6188" t="s">
        <v>228</v>
      </c>
      <c r="L6188" t="s">
        <v>14038</v>
      </c>
      <c r="M6188" s="3" t="str">
        <f>HYPERLINK("..\..\Imagery\ScannedPhotos\1986\CG86-528.13E.jpg")</f>
        <v>..\..\Imagery\ScannedPhotos\1986\CG86-528.13E.jpg</v>
      </c>
      <c r="N6188" t="s">
        <v>1808</v>
      </c>
    </row>
    <row r="6189" spans="1:14" x14ac:dyDescent="0.25">
      <c r="A6189" t="s">
        <v>2731</v>
      </c>
      <c r="B6189">
        <v>579966</v>
      </c>
      <c r="C6189">
        <v>5850649</v>
      </c>
      <c r="D6189">
        <v>21</v>
      </c>
      <c r="E6189" t="s">
        <v>15</v>
      </c>
      <c r="F6189" t="s">
        <v>14039</v>
      </c>
      <c r="G6189">
        <v>18</v>
      </c>
      <c r="H6189" t="s">
        <v>2733</v>
      </c>
      <c r="I6189" t="s">
        <v>94</v>
      </c>
      <c r="J6189" t="s">
        <v>814</v>
      </c>
      <c r="K6189" t="s">
        <v>20</v>
      </c>
      <c r="L6189" t="s">
        <v>2738</v>
      </c>
      <c r="M6189" s="3" t="str">
        <f>HYPERLINK("..\..\Imagery\ScannedPhotos\1986\CG86-528.14cropped.jpg")</f>
        <v>..\..\Imagery\ScannedPhotos\1986\CG86-528.14cropped.jpg</v>
      </c>
      <c r="N6189" t="s">
        <v>4297</v>
      </c>
    </row>
    <row r="6190" spans="1:14" x14ac:dyDescent="0.25">
      <c r="A6190" t="s">
        <v>4603</v>
      </c>
      <c r="B6190">
        <v>579472</v>
      </c>
      <c r="C6190">
        <v>5850838</v>
      </c>
      <c r="D6190">
        <v>21</v>
      </c>
      <c r="E6190" t="s">
        <v>15</v>
      </c>
      <c r="F6190" t="s">
        <v>14040</v>
      </c>
      <c r="G6190">
        <v>2</v>
      </c>
      <c r="H6190" t="s">
        <v>2945</v>
      </c>
      <c r="I6190" t="s">
        <v>108</v>
      </c>
      <c r="J6190" t="s">
        <v>300</v>
      </c>
      <c r="K6190" t="s">
        <v>20</v>
      </c>
      <c r="L6190" t="s">
        <v>14041</v>
      </c>
      <c r="M6190" s="3" t="str">
        <f>HYPERLINK("..\..\Imagery\ScannedPhotos\1986\CG86-529.2E.jpg")</f>
        <v>..\..\Imagery\ScannedPhotos\1986\CG86-529.2E.jpg</v>
      </c>
      <c r="N6190" t="s">
        <v>1808</v>
      </c>
    </row>
    <row r="6191" spans="1:14" x14ac:dyDescent="0.25">
      <c r="A6191" t="s">
        <v>14042</v>
      </c>
      <c r="B6191">
        <v>577057</v>
      </c>
      <c r="C6191">
        <v>5853181</v>
      </c>
      <c r="D6191">
        <v>21</v>
      </c>
      <c r="E6191" t="s">
        <v>15</v>
      </c>
      <c r="F6191" t="s">
        <v>14043</v>
      </c>
      <c r="G6191">
        <v>1</v>
      </c>
      <c r="H6191" t="s">
        <v>2945</v>
      </c>
      <c r="I6191" t="s">
        <v>147</v>
      </c>
      <c r="J6191" t="s">
        <v>300</v>
      </c>
      <c r="K6191" t="s">
        <v>228</v>
      </c>
      <c r="L6191" t="s">
        <v>14044</v>
      </c>
      <c r="M6191" s="3" t="str">
        <f>HYPERLINK("..\..\Imagery\ScannedPhotos\1986\CG86-546E.jpg")</f>
        <v>..\..\Imagery\ScannedPhotos\1986\CG86-546E.jpg</v>
      </c>
      <c r="N6191" t="s">
        <v>1808</v>
      </c>
    </row>
    <row r="6192" spans="1:14" x14ac:dyDescent="0.25">
      <c r="A6192" t="s">
        <v>11446</v>
      </c>
      <c r="B6192">
        <v>530601</v>
      </c>
      <c r="C6192">
        <v>5819184</v>
      </c>
      <c r="D6192">
        <v>21</v>
      </c>
      <c r="E6192" t="s">
        <v>15</v>
      </c>
      <c r="F6192" t="s">
        <v>14045</v>
      </c>
      <c r="G6192">
        <v>4</v>
      </c>
      <c r="H6192" t="s">
        <v>2106</v>
      </c>
      <c r="I6192" t="s">
        <v>214</v>
      </c>
      <c r="J6192" t="s">
        <v>2107</v>
      </c>
      <c r="K6192" t="s">
        <v>535</v>
      </c>
      <c r="L6192" t="s">
        <v>11448</v>
      </c>
      <c r="M6192" s="3" t="str">
        <f>HYPERLINK("..\..\Imagery\ScannedPhotos\1986\CG86-754.1E.jpg")</f>
        <v>..\..\Imagery\ScannedPhotos\1986\CG86-754.1E.jpg</v>
      </c>
      <c r="N6192" t="s">
        <v>1808</v>
      </c>
    </row>
    <row r="6193" spans="1:14" x14ac:dyDescent="0.25">
      <c r="A6193" t="s">
        <v>11446</v>
      </c>
      <c r="B6193">
        <v>530601</v>
      </c>
      <c r="C6193">
        <v>5819184</v>
      </c>
      <c r="D6193">
        <v>21</v>
      </c>
      <c r="E6193" t="s">
        <v>15</v>
      </c>
      <c r="F6193" t="s">
        <v>14046</v>
      </c>
      <c r="G6193">
        <v>4</v>
      </c>
      <c r="H6193" t="s">
        <v>2106</v>
      </c>
      <c r="I6193" t="s">
        <v>304</v>
      </c>
      <c r="J6193" t="s">
        <v>2107</v>
      </c>
      <c r="K6193" t="s">
        <v>535</v>
      </c>
      <c r="L6193" t="s">
        <v>11448</v>
      </c>
      <c r="M6193" s="3" t="str">
        <f>HYPERLINK("..\..\Imagery\ScannedPhotos\1986\CG86-754.4E.jpg")</f>
        <v>..\..\Imagery\ScannedPhotos\1986\CG86-754.4E.jpg</v>
      </c>
      <c r="N6193" t="s">
        <v>1808</v>
      </c>
    </row>
    <row r="6194" spans="1:14" x14ac:dyDescent="0.25">
      <c r="A6194" t="s">
        <v>14047</v>
      </c>
      <c r="B6194">
        <v>553432</v>
      </c>
      <c r="C6194">
        <v>5820582</v>
      </c>
      <c r="D6194">
        <v>21</v>
      </c>
      <c r="E6194" t="s">
        <v>15</v>
      </c>
      <c r="F6194" t="s">
        <v>14048</v>
      </c>
      <c r="G6194">
        <v>1</v>
      </c>
      <c r="H6194" t="s">
        <v>1212</v>
      </c>
      <c r="I6194" t="s">
        <v>137</v>
      </c>
      <c r="J6194" t="s">
        <v>100</v>
      </c>
      <c r="K6194" t="s">
        <v>20</v>
      </c>
      <c r="L6194" t="s">
        <v>14049</v>
      </c>
      <c r="M6194" s="3" t="str">
        <f>HYPERLINK("..\..\Imagery\ScannedPhotos\1986\JS86-002cropped.jpg")</f>
        <v>..\..\Imagery\ScannedPhotos\1986\JS86-002cropped.jpg</v>
      </c>
      <c r="N6194" t="s">
        <v>4297</v>
      </c>
    </row>
    <row r="6195" spans="1:14" x14ac:dyDescent="0.25">
      <c r="A6195" t="s">
        <v>5401</v>
      </c>
      <c r="B6195">
        <v>569586</v>
      </c>
      <c r="C6195">
        <v>5830607</v>
      </c>
      <c r="D6195">
        <v>21</v>
      </c>
      <c r="E6195" t="s">
        <v>15</v>
      </c>
      <c r="F6195" t="s">
        <v>14050</v>
      </c>
      <c r="G6195">
        <v>3</v>
      </c>
      <c r="H6195" t="s">
        <v>17</v>
      </c>
      <c r="I6195" t="s">
        <v>47</v>
      </c>
      <c r="J6195" t="s">
        <v>19</v>
      </c>
      <c r="K6195" t="s">
        <v>20</v>
      </c>
      <c r="L6195" t="s">
        <v>2263</v>
      </c>
      <c r="M6195" s="3" t="str">
        <f>HYPERLINK("..\..\Imagery\ScannedPhotos\1986\JS86-339.1cropped.jpg")</f>
        <v>..\..\Imagery\ScannedPhotos\1986\JS86-339.1cropped.jpg</v>
      </c>
      <c r="N6195" t="s">
        <v>4297</v>
      </c>
    </row>
    <row r="6196" spans="1:14" x14ac:dyDescent="0.25">
      <c r="A6196" t="s">
        <v>14051</v>
      </c>
      <c r="B6196">
        <v>580397</v>
      </c>
      <c r="C6196">
        <v>5855720</v>
      </c>
      <c r="D6196">
        <v>21</v>
      </c>
      <c r="E6196" t="s">
        <v>15</v>
      </c>
      <c r="F6196" t="s">
        <v>14052</v>
      </c>
      <c r="G6196">
        <v>1</v>
      </c>
      <c r="H6196" t="s">
        <v>2130</v>
      </c>
      <c r="I6196" t="s">
        <v>222</v>
      </c>
      <c r="J6196" t="s">
        <v>300</v>
      </c>
      <c r="K6196" t="s">
        <v>20</v>
      </c>
      <c r="L6196" t="s">
        <v>2996</v>
      </c>
      <c r="M6196" s="3" t="str">
        <f>HYPERLINK("..\..\Imagery\ScannedPhotos\1986\JS86-370cropped.jpg")</f>
        <v>..\..\Imagery\ScannedPhotos\1986\JS86-370cropped.jpg</v>
      </c>
      <c r="N6196" t="s">
        <v>4297</v>
      </c>
    </row>
    <row r="6197" spans="1:14" x14ac:dyDescent="0.25">
      <c r="A6197" t="s">
        <v>14053</v>
      </c>
      <c r="B6197">
        <v>568585</v>
      </c>
      <c r="C6197">
        <v>5839274</v>
      </c>
      <c r="D6197">
        <v>21</v>
      </c>
      <c r="E6197" t="s">
        <v>15</v>
      </c>
      <c r="F6197" t="s">
        <v>14054</v>
      </c>
      <c r="G6197">
        <v>1</v>
      </c>
      <c r="H6197" t="s">
        <v>2130</v>
      </c>
      <c r="I6197" t="s">
        <v>418</v>
      </c>
      <c r="J6197" t="s">
        <v>300</v>
      </c>
      <c r="K6197" t="s">
        <v>20</v>
      </c>
      <c r="L6197" t="s">
        <v>3976</v>
      </c>
      <c r="M6197" s="3" t="str">
        <f>HYPERLINK("..\..\Imagery\ScannedPhotos\1986\JS86-381cropped.jpg")</f>
        <v>..\..\Imagery\ScannedPhotos\1986\JS86-381cropped.jpg</v>
      </c>
      <c r="N6197" t="s">
        <v>4297</v>
      </c>
    </row>
    <row r="6198" spans="1:14" x14ac:dyDescent="0.25">
      <c r="A6198" t="s">
        <v>14055</v>
      </c>
      <c r="B6198">
        <v>578752</v>
      </c>
      <c r="C6198">
        <v>5852019</v>
      </c>
      <c r="D6198">
        <v>21</v>
      </c>
      <c r="E6198" t="s">
        <v>15</v>
      </c>
      <c r="F6198" t="s">
        <v>14056</v>
      </c>
      <c r="G6198">
        <v>1</v>
      </c>
      <c r="H6198" t="s">
        <v>2130</v>
      </c>
      <c r="I6198" t="s">
        <v>114</v>
      </c>
      <c r="J6198" t="s">
        <v>300</v>
      </c>
      <c r="K6198" t="s">
        <v>20</v>
      </c>
      <c r="L6198" t="s">
        <v>14057</v>
      </c>
      <c r="M6198" s="3" t="str">
        <f>HYPERLINK("..\..\Imagery\ScannedPhotos\1986\JS86-403cropped.jpg")</f>
        <v>..\..\Imagery\ScannedPhotos\1986\JS86-403cropped.jpg</v>
      </c>
      <c r="N6198" t="s">
        <v>4297</v>
      </c>
    </row>
    <row r="6199" spans="1:14" x14ac:dyDescent="0.25">
      <c r="A6199" t="s">
        <v>7345</v>
      </c>
      <c r="B6199">
        <v>583842</v>
      </c>
      <c r="C6199">
        <v>5832514</v>
      </c>
      <c r="D6199">
        <v>21</v>
      </c>
      <c r="E6199" t="s">
        <v>15</v>
      </c>
      <c r="F6199" t="s">
        <v>14058</v>
      </c>
      <c r="G6199">
        <v>1</v>
      </c>
      <c r="H6199" t="s">
        <v>1618</v>
      </c>
      <c r="I6199" t="s">
        <v>79</v>
      </c>
      <c r="J6199" t="s">
        <v>1619</v>
      </c>
      <c r="K6199" t="s">
        <v>228</v>
      </c>
      <c r="L6199" t="s">
        <v>14059</v>
      </c>
      <c r="M6199" s="3" t="str">
        <f>HYPERLINK("..\..\Imagery\ScannedPhotos\1986\JS86-460.4E.jpg")</f>
        <v>..\..\Imagery\ScannedPhotos\1986\JS86-460.4E.jpg</v>
      </c>
      <c r="N6199" t="s">
        <v>1808</v>
      </c>
    </row>
    <row r="6200" spans="1:14" x14ac:dyDescent="0.25">
      <c r="A6200" t="s">
        <v>14060</v>
      </c>
      <c r="B6200">
        <v>550426</v>
      </c>
      <c r="C6200">
        <v>5817851</v>
      </c>
      <c r="D6200">
        <v>21</v>
      </c>
      <c r="E6200" t="s">
        <v>15</v>
      </c>
      <c r="F6200" t="s">
        <v>14061</v>
      </c>
      <c r="G6200">
        <v>1</v>
      </c>
      <c r="H6200" t="s">
        <v>2325</v>
      </c>
      <c r="I6200" t="s">
        <v>281</v>
      </c>
      <c r="J6200" t="s">
        <v>2019</v>
      </c>
      <c r="K6200" t="s">
        <v>56</v>
      </c>
      <c r="L6200" t="s">
        <v>14062</v>
      </c>
      <c r="M6200" s="3" t="str">
        <f>HYPERLINK("..\..\Imagery\ScannedPhotos\1986\MN86-006cropped.jpg")</f>
        <v>..\..\Imagery\ScannedPhotos\1986\MN86-006cropped.jpg</v>
      </c>
      <c r="N6200" t="s">
        <v>4297</v>
      </c>
    </row>
    <row r="6201" spans="1:14" x14ac:dyDescent="0.25">
      <c r="A6201" t="s">
        <v>9218</v>
      </c>
      <c r="B6201">
        <v>509820</v>
      </c>
      <c r="C6201">
        <v>5863086</v>
      </c>
      <c r="D6201">
        <v>21</v>
      </c>
      <c r="E6201" t="s">
        <v>15</v>
      </c>
      <c r="F6201" t="s">
        <v>14063</v>
      </c>
      <c r="G6201">
        <v>5</v>
      </c>
      <c r="H6201" t="s">
        <v>656</v>
      </c>
      <c r="I6201" t="s">
        <v>79</v>
      </c>
      <c r="J6201" t="s">
        <v>657</v>
      </c>
      <c r="K6201" t="s">
        <v>228</v>
      </c>
      <c r="L6201" t="s">
        <v>14064</v>
      </c>
      <c r="M6201" s="3" t="str">
        <f>HYPERLINK("..\..\Imagery\ScannedPhotos\1986\MN86-051.1E.jpg")</f>
        <v>..\..\Imagery\ScannedPhotos\1986\MN86-051.1E.jpg</v>
      </c>
      <c r="N6201" t="s">
        <v>1808</v>
      </c>
    </row>
    <row r="6202" spans="1:14" x14ac:dyDescent="0.25">
      <c r="A6202" t="s">
        <v>9218</v>
      </c>
      <c r="B6202">
        <v>509820</v>
      </c>
      <c r="C6202">
        <v>5863086</v>
      </c>
      <c r="D6202">
        <v>21</v>
      </c>
      <c r="E6202" t="s">
        <v>15</v>
      </c>
      <c r="F6202" t="s">
        <v>14065</v>
      </c>
      <c r="G6202">
        <v>5</v>
      </c>
      <c r="H6202" t="s">
        <v>656</v>
      </c>
      <c r="I6202" t="s">
        <v>35</v>
      </c>
      <c r="J6202" t="s">
        <v>657</v>
      </c>
      <c r="K6202" t="s">
        <v>228</v>
      </c>
      <c r="L6202" t="s">
        <v>14066</v>
      </c>
      <c r="M6202" s="3" t="str">
        <f>HYPERLINK("..\..\Imagery\ScannedPhotos\1986\MN86-051.5E.jpg")</f>
        <v>..\..\Imagery\ScannedPhotos\1986\MN86-051.5E.jpg</v>
      </c>
      <c r="N6202" t="s">
        <v>1808</v>
      </c>
    </row>
    <row r="6203" spans="1:14" x14ac:dyDescent="0.25">
      <c r="A6203" t="s">
        <v>14067</v>
      </c>
      <c r="B6203">
        <v>538528</v>
      </c>
      <c r="C6203">
        <v>5867673</v>
      </c>
      <c r="D6203">
        <v>21</v>
      </c>
      <c r="E6203" t="s">
        <v>15</v>
      </c>
      <c r="F6203" t="s">
        <v>14068</v>
      </c>
      <c r="G6203">
        <v>1</v>
      </c>
      <c r="H6203" t="s">
        <v>201</v>
      </c>
      <c r="I6203" t="s">
        <v>137</v>
      </c>
      <c r="J6203" t="s">
        <v>202</v>
      </c>
      <c r="K6203" t="s">
        <v>20</v>
      </c>
      <c r="L6203" t="s">
        <v>3485</v>
      </c>
      <c r="M6203" s="3" t="str">
        <f>HYPERLINK("..\..\Imagery\ScannedPhotos\1986\MN86-098cropped.jpg")</f>
        <v>..\..\Imagery\ScannedPhotos\1986\MN86-098cropped.jpg</v>
      </c>
      <c r="N6203" t="s">
        <v>4297</v>
      </c>
    </row>
    <row r="6204" spans="1:14" x14ac:dyDescent="0.25">
      <c r="A6204" t="s">
        <v>3271</v>
      </c>
      <c r="B6204">
        <v>582152</v>
      </c>
      <c r="C6204">
        <v>5771688</v>
      </c>
      <c r="D6204">
        <v>21</v>
      </c>
      <c r="E6204" t="s">
        <v>15</v>
      </c>
      <c r="F6204" t="s">
        <v>14069</v>
      </c>
      <c r="G6204">
        <v>5</v>
      </c>
      <c r="H6204" t="s">
        <v>1618</v>
      </c>
      <c r="I6204" t="s">
        <v>409</v>
      </c>
      <c r="J6204" t="s">
        <v>1619</v>
      </c>
      <c r="K6204" t="s">
        <v>228</v>
      </c>
      <c r="L6204" t="s">
        <v>14070</v>
      </c>
      <c r="M6204" s="3" t="str">
        <f>HYPERLINK("..\..\Imagery\ScannedPhotos\1987\CG87-425.1E.jpg")</f>
        <v>..\..\Imagery\ScannedPhotos\1987\CG87-425.1E.jpg</v>
      </c>
      <c r="N6204" t="s">
        <v>1808</v>
      </c>
    </row>
    <row r="6205" spans="1:14" x14ac:dyDescent="0.25">
      <c r="A6205" t="s">
        <v>3271</v>
      </c>
      <c r="B6205">
        <v>582152</v>
      </c>
      <c r="C6205">
        <v>5771688</v>
      </c>
      <c r="D6205">
        <v>21</v>
      </c>
      <c r="E6205" t="s">
        <v>15</v>
      </c>
      <c r="F6205" t="s">
        <v>14071</v>
      </c>
      <c r="G6205">
        <v>5</v>
      </c>
      <c r="H6205" t="s">
        <v>1066</v>
      </c>
      <c r="I6205" t="s">
        <v>137</v>
      </c>
      <c r="J6205" t="s">
        <v>36</v>
      </c>
      <c r="K6205" t="s">
        <v>228</v>
      </c>
      <c r="L6205" t="s">
        <v>14072</v>
      </c>
      <c r="M6205" s="3" t="str">
        <f>HYPERLINK("..\..\Imagery\ScannedPhotos\1987\CG87-425.4E.jpg")</f>
        <v>..\..\Imagery\ScannedPhotos\1987\CG87-425.4E.jpg</v>
      </c>
      <c r="N6205" t="s">
        <v>1808</v>
      </c>
    </row>
    <row r="6206" spans="1:14" x14ac:dyDescent="0.25">
      <c r="A6206" t="s">
        <v>1064</v>
      </c>
      <c r="B6206">
        <v>582445</v>
      </c>
      <c r="C6206">
        <v>5771571</v>
      </c>
      <c r="D6206">
        <v>21</v>
      </c>
      <c r="E6206" t="s">
        <v>15</v>
      </c>
      <c r="F6206" t="s">
        <v>14073</v>
      </c>
      <c r="G6206">
        <v>3</v>
      </c>
      <c r="H6206" t="s">
        <v>1066</v>
      </c>
      <c r="I6206" t="s">
        <v>74</v>
      </c>
      <c r="J6206" t="s">
        <v>36</v>
      </c>
      <c r="K6206" t="s">
        <v>20</v>
      </c>
      <c r="L6206" t="s">
        <v>14074</v>
      </c>
      <c r="M6206" s="3" t="str">
        <f>HYPERLINK("..\..\Imagery\ScannedPhotos\1987\CG87-426.3cropped.jpg")</f>
        <v>..\..\Imagery\ScannedPhotos\1987\CG87-426.3cropped.jpg</v>
      </c>
      <c r="N6206" t="s">
        <v>4297</v>
      </c>
    </row>
    <row r="6207" spans="1:14" x14ac:dyDescent="0.25">
      <c r="A6207" t="s">
        <v>14075</v>
      </c>
      <c r="B6207">
        <v>536907</v>
      </c>
      <c r="C6207">
        <v>5729340</v>
      </c>
      <c r="D6207">
        <v>21</v>
      </c>
      <c r="E6207" t="s">
        <v>15</v>
      </c>
      <c r="F6207" t="s">
        <v>14076</v>
      </c>
      <c r="G6207">
        <v>1</v>
      </c>
      <c r="H6207" t="s">
        <v>1061</v>
      </c>
      <c r="I6207" t="s">
        <v>65</v>
      </c>
      <c r="J6207" t="s">
        <v>1062</v>
      </c>
      <c r="K6207" t="s">
        <v>228</v>
      </c>
      <c r="L6207" t="s">
        <v>14077</v>
      </c>
      <c r="M6207" s="3" t="str">
        <f>HYPERLINK("..\..\Imagery\ScannedPhotos\1993\CG93-036E.jpg")</f>
        <v>..\..\Imagery\ScannedPhotos\1993\CG93-036E.jpg</v>
      </c>
      <c r="N6207" t="s">
        <v>1808</v>
      </c>
    </row>
    <row r="6208" spans="1:14" x14ac:dyDescent="0.25">
      <c r="A6208" t="s">
        <v>14078</v>
      </c>
      <c r="B6208">
        <v>528353</v>
      </c>
      <c r="C6208">
        <v>5737233</v>
      </c>
      <c r="D6208">
        <v>21</v>
      </c>
      <c r="E6208" t="s">
        <v>15</v>
      </c>
      <c r="F6208" t="s">
        <v>14079</v>
      </c>
      <c r="G6208">
        <v>1</v>
      </c>
      <c r="H6208" t="s">
        <v>885</v>
      </c>
      <c r="I6208" t="s">
        <v>418</v>
      </c>
      <c r="J6208" t="s">
        <v>886</v>
      </c>
      <c r="K6208" t="s">
        <v>228</v>
      </c>
      <c r="L6208" t="s">
        <v>14080</v>
      </c>
      <c r="M6208" s="3" t="str">
        <f>HYPERLINK("..\..\Imagery\ScannedPhotos\1993\CG93-101E.jpg")</f>
        <v>..\..\Imagery\ScannedPhotos\1993\CG93-101E.jpg</v>
      </c>
      <c r="N6208" t="s">
        <v>1808</v>
      </c>
    </row>
    <row r="6209" spans="1:14" x14ac:dyDescent="0.25">
      <c r="A6209" t="s">
        <v>14081</v>
      </c>
      <c r="B6209">
        <v>533007</v>
      </c>
      <c r="C6209">
        <v>5724591</v>
      </c>
      <c r="D6209">
        <v>21</v>
      </c>
      <c r="E6209" t="s">
        <v>15</v>
      </c>
      <c r="F6209" t="s">
        <v>14082</v>
      </c>
      <c r="G6209">
        <v>1</v>
      </c>
      <c r="H6209" t="s">
        <v>885</v>
      </c>
      <c r="I6209" t="s">
        <v>129</v>
      </c>
      <c r="J6209" t="s">
        <v>886</v>
      </c>
      <c r="K6209" t="s">
        <v>20</v>
      </c>
      <c r="L6209" t="s">
        <v>1673</v>
      </c>
      <c r="M6209" s="3" t="str">
        <f>HYPERLINK("..\..\Imagery\ScannedPhotos\1993\CG93-128E.jpg")</f>
        <v>..\..\Imagery\ScannedPhotos\1993\CG93-128E.jpg</v>
      </c>
      <c r="N6209" t="s">
        <v>1808</v>
      </c>
    </row>
    <row r="6210" spans="1:14" x14ac:dyDescent="0.25">
      <c r="A6210" t="s">
        <v>14083</v>
      </c>
      <c r="B6210">
        <v>532175</v>
      </c>
      <c r="C6210">
        <v>5724668</v>
      </c>
      <c r="D6210">
        <v>21</v>
      </c>
      <c r="E6210" t="s">
        <v>15</v>
      </c>
      <c r="F6210" t="s">
        <v>14084</v>
      </c>
      <c r="G6210">
        <v>1</v>
      </c>
      <c r="H6210" t="s">
        <v>885</v>
      </c>
      <c r="I6210" t="s">
        <v>147</v>
      </c>
      <c r="J6210" t="s">
        <v>886</v>
      </c>
      <c r="K6210" t="s">
        <v>20</v>
      </c>
      <c r="L6210" t="s">
        <v>14085</v>
      </c>
      <c r="M6210" s="3" t="str">
        <f>HYPERLINK("..\..\Imagery\ScannedPhotos\1993\CG93-165E.jpg")</f>
        <v>..\..\Imagery\ScannedPhotos\1993\CG93-165E.jpg</v>
      </c>
      <c r="N6210" t="s">
        <v>1808</v>
      </c>
    </row>
    <row r="6211" spans="1:14" x14ac:dyDescent="0.25">
      <c r="A6211" t="s">
        <v>10515</v>
      </c>
      <c r="B6211">
        <v>529347</v>
      </c>
      <c r="C6211">
        <v>5722210</v>
      </c>
      <c r="D6211">
        <v>21</v>
      </c>
      <c r="E6211" t="s">
        <v>15</v>
      </c>
      <c r="F6211" t="s">
        <v>14086</v>
      </c>
      <c r="G6211">
        <v>1</v>
      </c>
      <c r="H6211" t="s">
        <v>885</v>
      </c>
      <c r="I6211" t="s">
        <v>401</v>
      </c>
      <c r="J6211" t="s">
        <v>886</v>
      </c>
      <c r="K6211" t="s">
        <v>228</v>
      </c>
      <c r="L6211" t="s">
        <v>14087</v>
      </c>
      <c r="M6211" s="3" t="str">
        <f>HYPERLINK("..\..\Imagery\ScannedPhotos\1993\CG93-175.2E.jpg")</f>
        <v>..\..\Imagery\ScannedPhotos\1993\CG93-175.2E.jpg</v>
      </c>
      <c r="N6211" t="s">
        <v>1808</v>
      </c>
    </row>
    <row r="6212" spans="1:14" x14ac:dyDescent="0.25">
      <c r="A6212" t="s">
        <v>596</v>
      </c>
      <c r="B6212">
        <v>520167</v>
      </c>
      <c r="C6212">
        <v>5717375</v>
      </c>
      <c r="D6212">
        <v>21</v>
      </c>
      <c r="E6212" t="s">
        <v>15</v>
      </c>
      <c r="F6212" t="s">
        <v>14088</v>
      </c>
      <c r="G6212">
        <v>4</v>
      </c>
      <c r="H6212" t="s">
        <v>569</v>
      </c>
      <c r="I6212" t="s">
        <v>222</v>
      </c>
      <c r="J6212" t="s">
        <v>570</v>
      </c>
      <c r="K6212" t="s">
        <v>20</v>
      </c>
      <c r="L6212" t="s">
        <v>5233</v>
      </c>
      <c r="M6212" s="3" t="str">
        <f>HYPERLINK("..\..\Imagery\ScannedPhotos\1993\CG93-206.4E.jpg")</f>
        <v>..\..\Imagery\ScannedPhotos\1993\CG93-206.4E.jpg</v>
      </c>
      <c r="N6212" t="s">
        <v>1808</v>
      </c>
    </row>
    <row r="6213" spans="1:14" x14ac:dyDescent="0.25">
      <c r="A6213" t="s">
        <v>3706</v>
      </c>
      <c r="B6213">
        <v>520445</v>
      </c>
      <c r="C6213">
        <v>5716581</v>
      </c>
      <c r="D6213">
        <v>21</v>
      </c>
      <c r="E6213" t="s">
        <v>15</v>
      </c>
      <c r="F6213" t="s">
        <v>14089</v>
      </c>
      <c r="G6213">
        <v>2</v>
      </c>
      <c r="H6213" t="s">
        <v>569</v>
      </c>
      <c r="I6213" t="s">
        <v>418</v>
      </c>
      <c r="J6213" t="s">
        <v>570</v>
      </c>
      <c r="K6213" t="s">
        <v>56</v>
      </c>
      <c r="L6213" t="s">
        <v>14090</v>
      </c>
      <c r="M6213" s="3" t="str">
        <f>HYPERLINK("..\..\Imagery\ScannedPhotos\1993\CG93-208.1E.jpg")</f>
        <v>..\..\Imagery\ScannedPhotos\1993\CG93-208.1E.jpg</v>
      </c>
      <c r="N6213" t="s">
        <v>1808</v>
      </c>
    </row>
    <row r="6214" spans="1:14" x14ac:dyDescent="0.25">
      <c r="A6214" t="s">
        <v>3709</v>
      </c>
      <c r="B6214">
        <v>516564</v>
      </c>
      <c r="C6214">
        <v>5723794</v>
      </c>
      <c r="D6214">
        <v>21</v>
      </c>
      <c r="E6214" t="s">
        <v>15</v>
      </c>
      <c r="F6214" t="s">
        <v>14091</v>
      </c>
      <c r="G6214">
        <v>1</v>
      </c>
      <c r="H6214" t="s">
        <v>569</v>
      </c>
      <c r="I6214" t="s">
        <v>195</v>
      </c>
      <c r="J6214" t="s">
        <v>570</v>
      </c>
      <c r="K6214" t="s">
        <v>228</v>
      </c>
      <c r="L6214" t="s">
        <v>14092</v>
      </c>
      <c r="M6214" s="3" t="str">
        <f>HYPERLINK("..\..\Imagery\ScannedPhotos\1993\CG93-238.2E.jpg")</f>
        <v>..\..\Imagery\ScannedPhotos\1993\CG93-238.2E.jpg</v>
      </c>
      <c r="N6214" t="s">
        <v>1808</v>
      </c>
    </row>
    <row r="6215" spans="1:14" x14ac:dyDescent="0.25">
      <c r="A6215" t="s">
        <v>1074</v>
      </c>
      <c r="B6215">
        <v>517524</v>
      </c>
      <c r="C6215">
        <v>5712120</v>
      </c>
      <c r="D6215">
        <v>21</v>
      </c>
      <c r="E6215" t="s">
        <v>15</v>
      </c>
      <c r="F6215" t="s">
        <v>14093</v>
      </c>
      <c r="G6215">
        <v>9</v>
      </c>
      <c r="H6215" t="s">
        <v>1076</v>
      </c>
      <c r="I6215" t="s">
        <v>281</v>
      </c>
      <c r="J6215" t="s">
        <v>570</v>
      </c>
      <c r="K6215" t="s">
        <v>228</v>
      </c>
      <c r="L6215" t="s">
        <v>14094</v>
      </c>
      <c r="M6215" s="3" t="str">
        <f>HYPERLINK("..\..\Imagery\ScannedPhotos\1993\CG93-268.1E.jpg")</f>
        <v>..\..\Imagery\ScannedPhotos\1993\CG93-268.1E.jpg</v>
      </c>
      <c r="N6215" t="s">
        <v>1808</v>
      </c>
    </row>
    <row r="6216" spans="1:14" x14ac:dyDescent="0.25">
      <c r="A6216" t="s">
        <v>14095</v>
      </c>
      <c r="B6216">
        <v>516668</v>
      </c>
      <c r="C6216">
        <v>5711802</v>
      </c>
      <c r="D6216">
        <v>21</v>
      </c>
      <c r="E6216" t="s">
        <v>15</v>
      </c>
      <c r="F6216" t="s">
        <v>14096</v>
      </c>
      <c r="G6216">
        <v>2</v>
      </c>
      <c r="H6216" t="s">
        <v>1076</v>
      </c>
      <c r="I6216" t="s">
        <v>195</v>
      </c>
      <c r="J6216" t="s">
        <v>570</v>
      </c>
      <c r="K6216" t="s">
        <v>535</v>
      </c>
      <c r="L6216" t="s">
        <v>14097</v>
      </c>
      <c r="M6216" s="3" t="str">
        <f>HYPERLINK("..\..\Imagery\ScannedPhotos\1993\CG93-272.1E.jpg")</f>
        <v>..\..\Imagery\ScannedPhotos\1993\CG93-272.1E.jpg</v>
      </c>
      <c r="N6216" t="s">
        <v>1808</v>
      </c>
    </row>
    <row r="6217" spans="1:14" x14ac:dyDescent="0.25">
      <c r="A6217" t="s">
        <v>14095</v>
      </c>
      <c r="B6217">
        <v>516668</v>
      </c>
      <c r="C6217">
        <v>5711802</v>
      </c>
      <c r="D6217">
        <v>21</v>
      </c>
      <c r="E6217" t="s">
        <v>15</v>
      </c>
      <c r="F6217" t="s">
        <v>14098</v>
      </c>
      <c r="G6217">
        <v>2</v>
      </c>
      <c r="H6217" t="s">
        <v>1076</v>
      </c>
      <c r="I6217" t="s">
        <v>25</v>
      </c>
      <c r="J6217" t="s">
        <v>570</v>
      </c>
      <c r="K6217" t="s">
        <v>535</v>
      </c>
      <c r="L6217" t="s">
        <v>14097</v>
      </c>
      <c r="M6217" s="3" t="str">
        <f>HYPERLINK("..\..\Imagery\ScannedPhotos\1993\CG93-272.2E.jpg")</f>
        <v>..\..\Imagery\ScannedPhotos\1993\CG93-272.2E.jpg</v>
      </c>
      <c r="N6217" t="s">
        <v>1808</v>
      </c>
    </row>
    <row r="6218" spans="1:14" x14ac:dyDescent="0.25">
      <c r="A6218" t="s">
        <v>14099</v>
      </c>
      <c r="B6218">
        <v>548498</v>
      </c>
      <c r="C6218">
        <v>5735574</v>
      </c>
      <c r="D6218">
        <v>21</v>
      </c>
      <c r="E6218" t="s">
        <v>15</v>
      </c>
      <c r="F6218" t="s">
        <v>14100</v>
      </c>
      <c r="G6218">
        <v>1</v>
      </c>
      <c r="H6218" t="s">
        <v>1076</v>
      </c>
      <c r="I6218" t="s">
        <v>409</v>
      </c>
      <c r="J6218" t="s">
        <v>570</v>
      </c>
      <c r="K6218" t="s">
        <v>20</v>
      </c>
      <c r="L6218" t="s">
        <v>14101</v>
      </c>
      <c r="M6218" s="3" t="str">
        <f>HYPERLINK("..\..\Imagery\ScannedPhotos\1993\CG93-303E.jpg")</f>
        <v>..\..\Imagery\ScannedPhotos\1993\CG93-303E.jpg</v>
      </c>
      <c r="N6218" t="s">
        <v>1808</v>
      </c>
    </row>
    <row r="6219" spans="1:14" x14ac:dyDescent="0.25">
      <c r="A6219" t="s">
        <v>10286</v>
      </c>
      <c r="B6219">
        <v>522620</v>
      </c>
      <c r="C6219">
        <v>5732467</v>
      </c>
      <c r="D6219">
        <v>21</v>
      </c>
      <c r="E6219" t="s">
        <v>15</v>
      </c>
      <c r="F6219" t="s">
        <v>14102</v>
      </c>
      <c r="G6219">
        <v>2</v>
      </c>
      <c r="H6219" t="s">
        <v>7220</v>
      </c>
      <c r="I6219" t="s">
        <v>85</v>
      </c>
      <c r="J6219" t="s">
        <v>1738</v>
      </c>
      <c r="K6219" t="s">
        <v>228</v>
      </c>
      <c r="L6219" t="s">
        <v>14103</v>
      </c>
      <c r="M6219" s="3" t="str">
        <f>HYPERLINK("..\..\Imagery\ScannedPhotos\1993\CG93-324.2E.jpg")</f>
        <v>..\..\Imagery\ScannedPhotos\1993\CG93-324.2E.jpg</v>
      </c>
      <c r="N6219" t="s">
        <v>1808</v>
      </c>
    </row>
    <row r="6220" spans="1:14" x14ac:dyDescent="0.25">
      <c r="A6220" t="s">
        <v>10974</v>
      </c>
      <c r="B6220">
        <v>524303</v>
      </c>
      <c r="C6220">
        <v>5733487</v>
      </c>
      <c r="D6220">
        <v>21</v>
      </c>
      <c r="E6220" t="s">
        <v>15</v>
      </c>
      <c r="F6220" t="s">
        <v>14104</v>
      </c>
      <c r="G6220">
        <v>2</v>
      </c>
      <c r="H6220" t="s">
        <v>7220</v>
      </c>
      <c r="I6220" t="s">
        <v>94</v>
      </c>
      <c r="J6220" t="s">
        <v>1738</v>
      </c>
      <c r="K6220" t="s">
        <v>228</v>
      </c>
      <c r="L6220" t="s">
        <v>14105</v>
      </c>
      <c r="M6220" s="3" t="str">
        <f>HYPERLINK("..\..\Imagery\ScannedPhotos\1993\CG93-328.2E.jpg")</f>
        <v>..\..\Imagery\ScannedPhotos\1993\CG93-328.2E.jpg</v>
      </c>
      <c r="N6220" t="s">
        <v>1808</v>
      </c>
    </row>
    <row r="6221" spans="1:14" x14ac:dyDescent="0.25">
      <c r="A6221" t="s">
        <v>14106</v>
      </c>
      <c r="B6221">
        <v>513566</v>
      </c>
      <c r="C6221">
        <v>5732688</v>
      </c>
      <c r="D6221">
        <v>21</v>
      </c>
      <c r="E6221" t="s">
        <v>15</v>
      </c>
      <c r="F6221" t="s">
        <v>14107</v>
      </c>
      <c r="G6221">
        <v>1</v>
      </c>
      <c r="H6221" t="s">
        <v>7220</v>
      </c>
      <c r="I6221" t="s">
        <v>217</v>
      </c>
      <c r="J6221" t="s">
        <v>1738</v>
      </c>
      <c r="K6221" t="s">
        <v>228</v>
      </c>
      <c r="L6221" t="s">
        <v>14108</v>
      </c>
      <c r="M6221" s="3" t="str">
        <f>HYPERLINK("..\..\Imagery\ScannedPhotos\1993\CG93-388E.jpg")</f>
        <v>..\..\Imagery\ScannedPhotos\1993\CG93-388E.jpg</v>
      </c>
      <c r="N6221" t="s">
        <v>1808</v>
      </c>
    </row>
    <row r="6222" spans="1:14" x14ac:dyDescent="0.25">
      <c r="A6222" t="s">
        <v>10124</v>
      </c>
      <c r="B6222">
        <v>556510</v>
      </c>
      <c r="C6222">
        <v>5740640</v>
      </c>
      <c r="D6222">
        <v>21</v>
      </c>
      <c r="E6222" t="s">
        <v>15</v>
      </c>
      <c r="F6222" t="s">
        <v>14109</v>
      </c>
      <c r="G6222">
        <v>5</v>
      </c>
      <c r="H6222" t="s">
        <v>7220</v>
      </c>
      <c r="I6222" t="s">
        <v>647</v>
      </c>
      <c r="J6222" t="s">
        <v>1738</v>
      </c>
      <c r="K6222" t="s">
        <v>20</v>
      </c>
      <c r="L6222" t="s">
        <v>14110</v>
      </c>
      <c r="M6222" s="3" t="str">
        <f>HYPERLINK("..\..\Imagery\ScannedPhotos\1993\CG93-407.4E.jpg")</f>
        <v>..\..\Imagery\ScannedPhotos\1993\CG93-407.4E.jpg</v>
      </c>
      <c r="N6222" t="s">
        <v>1808</v>
      </c>
    </row>
    <row r="6223" spans="1:14" x14ac:dyDescent="0.25">
      <c r="A6223" t="s">
        <v>14111</v>
      </c>
      <c r="B6223">
        <v>557913</v>
      </c>
      <c r="C6223">
        <v>5741795</v>
      </c>
      <c r="D6223">
        <v>21</v>
      </c>
      <c r="E6223" t="s">
        <v>15</v>
      </c>
      <c r="F6223" t="s">
        <v>14112</v>
      </c>
      <c r="G6223">
        <v>1</v>
      </c>
      <c r="H6223" t="s">
        <v>7220</v>
      </c>
      <c r="I6223" t="s">
        <v>129</v>
      </c>
      <c r="J6223" t="s">
        <v>1738</v>
      </c>
      <c r="K6223" t="s">
        <v>20</v>
      </c>
      <c r="L6223" t="s">
        <v>14113</v>
      </c>
      <c r="M6223" s="3" t="str">
        <f>HYPERLINK("..\..\Imagery\ScannedPhotos\1993\CG93-412E.jpg")</f>
        <v>..\..\Imagery\ScannedPhotos\1993\CG93-412E.jpg</v>
      </c>
      <c r="N6223" t="s">
        <v>1808</v>
      </c>
    </row>
    <row r="6224" spans="1:14" x14ac:dyDescent="0.25">
      <c r="A6224" t="s">
        <v>14114</v>
      </c>
      <c r="B6224">
        <v>558419</v>
      </c>
      <c r="C6224">
        <v>5742298</v>
      </c>
      <c r="D6224">
        <v>21</v>
      </c>
      <c r="E6224" t="s">
        <v>15</v>
      </c>
      <c r="F6224" t="s">
        <v>14115</v>
      </c>
      <c r="G6224">
        <v>1</v>
      </c>
      <c r="H6224" t="s">
        <v>7220</v>
      </c>
      <c r="I6224" t="s">
        <v>47</v>
      </c>
      <c r="J6224" t="s">
        <v>1738</v>
      </c>
      <c r="K6224" t="s">
        <v>20</v>
      </c>
      <c r="L6224" t="s">
        <v>14116</v>
      </c>
      <c r="M6224" s="3" t="str">
        <f>HYPERLINK("..\..\Imagery\ScannedPhotos\1993\CG93-414E.jpg")</f>
        <v>..\..\Imagery\ScannedPhotos\1993\CG93-414E.jpg</v>
      </c>
      <c r="N6224" t="s">
        <v>1808</v>
      </c>
    </row>
    <row r="6225" spans="1:14" x14ac:dyDescent="0.25">
      <c r="A6225" t="s">
        <v>14117</v>
      </c>
      <c r="B6225">
        <v>505812</v>
      </c>
      <c r="C6225">
        <v>5735320</v>
      </c>
      <c r="D6225">
        <v>21</v>
      </c>
      <c r="E6225" t="s">
        <v>15</v>
      </c>
      <c r="F6225" t="s">
        <v>14118</v>
      </c>
      <c r="G6225">
        <v>1</v>
      </c>
      <c r="H6225" t="s">
        <v>1513</v>
      </c>
      <c r="I6225" t="s">
        <v>217</v>
      </c>
      <c r="J6225" t="s">
        <v>1514</v>
      </c>
      <c r="K6225" t="s">
        <v>228</v>
      </c>
      <c r="L6225" t="s">
        <v>14119</v>
      </c>
      <c r="M6225" s="3" t="str">
        <f>HYPERLINK("..\..\Imagery\ScannedPhotos\1993\CG93-421E.jpg")</f>
        <v>..\..\Imagery\ScannedPhotos\1993\CG93-421E.jpg</v>
      </c>
      <c r="N6225" t="s">
        <v>1808</v>
      </c>
    </row>
    <row r="6226" spans="1:14" x14ac:dyDescent="0.25">
      <c r="A6226" t="s">
        <v>3953</v>
      </c>
      <c r="B6226">
        <v>566232</v>
      </c>
      <c r="C6226">
        <v>5749124</v>
      </c>
      <c r="D6226">
        <v>21</v>
      </c>
      <c r="E6226" t="s">
        <v>15</v>
      </c>
      <c r="F6226" t="s">
        <v>14120</v>
      </c>
      <c r="G6226">
        <v>2</v>
      </c>
      <c r="H6226" t="s">
        <v>1513</v>
      </c>
      <c r="I6226" t="s">
        <v>30</v>
      </c>
      <c r="J6226" t="s">
        <v>1514</v>
      </c>
      <c r="K6226" t="s">
        <v>20</v>
      </c>
      <c r="L6226" t="s">
        <v>14121</v>
      </c>
      <c r="M6226" s="3" t="str">
        <f>HYPERLINK("..\..\Imagery\ScannedPhotos\1993\CG93-454.1E.jpg")</f>
        <v>..\..\Imagery\ScannedPhotos\1993\CG93-454.1E.jpg</v>
      </c>
      <c r="N6226" t="s">
        <v>1808</v>
      </c>
    </row>
    <row r="6227" spans="1:14" x14ac:dyDescent="0.25">
      <c r="A6227" t="s">
        <v>1511</v>
      </c>
      <c r="B6227">
        <v>566520</v>
      </c>
      <c r="C6227">
        <v>5749135</v>
      </c>
      <c r="D6227">
        <v>21</v>
      </c>
      <c r="E6227" t="s">
        <v>15</v>
      </c>
      <c r="F6227" t="s">
        <v>14122</v>
      </c>
      <c r="G6227">
        <v>6</v>
      </c>
      <c r="H6227" t="s">
        <v>1513</v>
      </c>
      <c r="I6227" t="s">
        <v>122</v>
      </c>
      <c r="J6227" t="s">
        <v>1514</v>
      </c>
      <c r="K6227" t="s">
        <v>20</v>
      </c>
      <c r="L6227" t="s">
        <v>14123</v>
      </c>
      <c r="M6227" s="3" t="str">
        <f>HYPERLINK("..\..\Imagery\ScannedPhotos\1993\CG93-455.2E.jpg")</f>
        <v>..\..\Imagery\ScannedPhotos\1993\CG93-455.2E.jpg</v>
      </c>
      <c r="N6227" t="s">
        <v>1808</v>
      </c>
    </row>
    <row r="6228" spans="1:14" x14ac:dyDescent="0.25">
      <c r="A6228" t="s">
        <v>1511</v>
      </c>
      <c r="B6228">
        <v>566520</v>
      </c>
      <c r="C6228">
        <v>5749135</v>
      </c>
      <c r="D6228">
        <v>21</v>
      </c>
      <c r="E6228" t="s">
        <v>15</v>
      </c>
      <c r="F6228" t="s">
        <v>14124</v>
      </c>
      <c r="G6228">
        <v>6</v>
      </c>
      <c r="H6228" t="s">
        <v>1513</v>
      </c>
      <c r="I6228" t="s">
        <v>126</v>
      </c>
      <c r="J6228" t="s">
        <v>1514</v>
      </c>
      <c r="K6228" t="s">
        <v>20</v>
      </c>
      <c r="L6228" t="s">
        <v>14123</v>
      </c>
      <c r="M6228" s="3" t="str">
        <f>HYPERLINK("..\..\Imagery\ScannedPhotos\1993\CG93-455.3E.jpg")</f>
        <v>..\..\Imagery\ScannedPhotos\1993\CG93-455.3E.jpg</v>
      </c>
      <c r="N6228" t="s">
        <v>1808</v>
      </c>
    </row>
    <row r="6229" spans="1:14" x14ac:dyDescent="0.25">
      <c r="A6229" t="s">
        <v>1511</v>
      </c>
      <c r="B6229">
        <v>566520</v>
      </c>
      <c r="C6229">
        <v>5749135</v>
      </c>
      <c r="D6229">
        <v>21</v>
      </c>
      <c r="E6229" t="s">
        <v>15</v>
      </c>
      <c r="F6229" t="s">
        <v>14125</v>
      </c>
      <c r="G6229">
        <v>6</v>
      </c>
      <c r="H6229" t="s">
        <v>1513</v>
      </c>
      <c r="I6229" t="s">
        <v>129</v>
      </c>
      <c r="J6229" t="s">
        <v>1514</v>
      </c>
      <c r="K6229" t="s">
        <v>20</v>
      </c>
      <c r="L6229" t="s">
        <v>14126</v>
      </c>
      <c r="M6229" s="3" t="str">
        <f>HYPERLINK("..\..\Imagery\ScannedPhotos\1993\CG93-455.6E.jpg")</f>
        <v>..\..\Imagery\ScannedPhotos\1993\CG93-455.6E.jpg</v>
      </c>
      <c r="N6229" t="s">
        <v>1808</v>
      </c>
    </row>
    <row r="6230" spans="1:14" x14ac:dyDescent="0.25">
      <c r="A6230" t="s">
        <v>7432</v>
      </c>
      <c r="B6230">
        <v>567765</v>
      </c>
      <c r="C6230">
        <v>5750190</v>
      </c>
      <c r="D6230">
        <v>21</v>
      </c>
      <c r="E6230" t="s">
        <v>15</v>
      </c>
      <c r="F6230" t="s">
        <v>14127</v>
      </c>
      <c r="G6230">
        <v>4</v>
      </c>
      <c r="H6230" t="s">
        <v>1513</v>
      </c>
      <c r="I6230" t="s">
        <v>409</v>
      </c>
      <c r="J6230" t="s">
        <v>1514</v>
      </c>
      <c r="K6230" t="s">
        <v>228</v>
      </c>
      <c r="L6230" t="s">
        <v>14128</v>
      </c>
      <c r="M6230" s="3" t="str">
        <f>HYPERLINK("..\..\Imagery\ScannedPhotos\1993\CG93-459.4E.jpg")</f>
        <v>..\..\Imagery\ScannedPhotos\1993\CG93-459.4E.jpg</v>
      </c>
      <c r="N6230" t="s">
        <v>1808</v>
      </c>
    </row>
    <row r="6231" spans="1:14" x14ac:dyDescent="0.25">
      <c r="A6231" t="s">
        <v>14129</v>
      </c>
      <c r="B6231">
        <v>568656</v>
      </c>
      <c r="C6231">
        <v>5750405</v>
      </c>
      <c r="D6231">
        <v>21</v>
      </c>
      <c r="E6231" t="s">
        <v>15</v>
      </c>
      <c r="F6231" t="s">
        <v>14130</v>
      </c>
      <c r="G6231">
        <v>1</v>
      </c>
      <c r="H6231" t="s">
        <v>1732</v>
      </c>
      <c r="I6231" t="s">
        <v>281</v>
      </c>
      <c r="J6231" t="s">
        <v>1733</v>
      </c>
      <c r="K6231" t="s">
        <v>20</v>
      </c>
      <c r="L6231" t="s">
        <v>14131</v>
      </c>
      <c r="M6231" s="3" t="str">
        <f>HYPERLINK("..\..\Imagery\ScannedPhotos\1993\CG93-461E.jpg")</f>
        <v>..\..\Imagery\ScannedPhotos\1993\CG93-461E.jpg</v>
      </c>
      <c r="N6231" t="s">
        <v>1808</v>
      </c>
    </row>
    <row r="6232" spans="1:14" x14ac:dyDescent="0.25">
      <c r="A6232" t="s">
        <v>13594</v>
      </c>
      <c r="B6232">
        <v>492569</v>
      </c>
      <c r="C6232">
        <v>5739618</v>
      </c>
      <c r="D6232">
        <v>21</v>
      </c>
      <c r="E6232" t="s">
        <v>15</v>
      </c>
      <c r="F6232" t="s">
        <v>14132</v>
      </c>
      <c r="G6232">
        <v>3</v>
      </c>
      <c r="H6232" t="s">
        <v>1732</v>
      </c>
      <c r="I6232" t="s">
        <v>74</v>
      </c>
      <c r="J6232" t="s">
        <v>1733</v>
      </c>
      <c r="K6232" t="s">
        <v>20</v>
      </c>
      <c r="L6232" t="s">
        <v>2230</v>
      </c>
      <c r="M6232" s="3" t="str">
        <f>HYPERLINK("..\..\Imagery\ScannedPhotos\1993\CG93-479.3E.jpg")</f>
        <v>..\..\Imagery\ScannedPhotos\1993\CG93-479.3E.jpg</v>
      </c>
      <c r="N6232" t="s">
        <v>1808</v>
      </c>
    </row>
    <row r="6233" spans="1:14" x14ac:dyDescent="0.25">
      <c r="A6233" t="s">
        <v>14133</v>
      </c>
      <c r="B6233">
        <v>493298</v>
      </c>
      <c r="C6233">
        <v>5739607</v>
      </c>
      <c r="D6233">
        <v>21</v>
      </c>
      <c r="E6233" t="s">
        <v>15</v>
      </c>
      <c r="F6233" t="s">
        <v>14134</v>
      </c>
      <c r="G6233">
        <v>1</v>
      </c>
      <c r="H6233" t="s">
        <v>1732</v>
      </c>
      <c r="I6233" t="s">
        <v>41</v>
      </c>
      <c r="J6233" t="s">
        <v>1733</v>
      </c>
      <c r="K6233" t="s">
        <v>228</v>
      </c>
      <c r="L6233" t="s">
        <v>14135</v>
      </c>
      <c r="M6233" s="3" t="str">
        <f>HYPERLINK("..\..\Imagery\ScannedPhotos\1993\CG93-480E.jpg")</f>
        <v>..\..\Imagery\ScannedPhotos\1993\CG93-480E.jpg</v>
      </c>
      <c r="N6233" t="s">
        <v>1808</v>
      </c>
    </row>
    <row r="6234" spans="1:14" x14ac:dyDescent="0.25">
      <c r="A6234" t="s">
        <v>14136</v>
      </c>
      <c r="B6234">
        <v>536077</v>
      </c>
      <c r="C6234">
        <v>5746021</v>
      </c>
      <c r="D6234">
        <v>21</v>
      </c>
      <c r="E6234" t="s">
        <v>15</v>
      </c>
      <c r="F6234" t="s">
        <v>14137</v>
      </c>
      <c r="G6234">
        <v>1</v>
      </c>
      <c r="H6234" t="s">
        <v>1732</v>
      </c>
      <c r="I6234" t="s">
        <v>647</v>
      </c>
      <c r="J6234" t="s">
        <v>1733</v>
      </c>
      <c r="K6234" t="s">
        <v>228</v>
      </c>
      <c r="L6234" t="s">
        <v>14138</v>
      </c>
      <c r="M6234" s="3" t="str">
        <f>HYPERLINK("..\..\Imagery\ScannedPhotos\1993\CG93-551E.jpg")</f>
        <v>..\..\Imagery\ScannedPhotos\1993\CG93-551E.jpg</v>
      </c>
      <c r="N6234" t="s">
        <v>1808</v>
      </c>
    </row>
    <row r="6235" spans="1:14" x14ac:dyDescent="0.25">
      <c r="A6235" t="s">
        <v>14139</v>
      </c>
      <c r="B6235">
        <v>549492</v>
      </c>
      <c r="C6235">
        <v>5755402</v>
      </c>
      <c r="D6235">
        <v>21</v>
      </c>
      <c r="E6235" t="s">
        <v>15</v>
      </c>
      <c r="F6235" t="s">
        <v>14140</v>
      </c>
      <c r="G6235">
        <v>1</v>
      </c>
      <c r="H6235" t="s">
        <v>995</v>
      </c>
      <c r="I6235" t="s">
        <v>35</v>
      </c>
      <c r="J6235" t="s">
        <v>996</v>
      </c>
      <c r="K6235" t="s">
        <v>56</v>
      </c>
      <c r="L6235" t="s">
        <v>14141</v>
      </c>
      <c r="M6235" s="3" t="str">
        <f>HYPERLINK("..\..\Imagery\ScannedPhotos\1993\CG93-715E.jpg")</f>
        <v>..\..\Imagery\ScannedPhotos\1993\CG93-715E.jpg</v>
      </c>
      <c r="N6235" t="s">
        <v>1808</v>
      </c>
    </row>
    <row r="6236" spans="1:14" x14ac:dyDescent="0.25">
      <c r="A6236" t="s">
        <v>1001</v>
      </c>
      <c r="B6236">
        <v>557129</v>
      </c>
      <c r="C6236">
        <v>5759535</v>
      </c>
      <c r="D6236">
        <v>21</v>
      </c>
      <c r="E6236" t="s">
        <v>15</v>
      </c>
      <c r="F6236" t="s">
        <v>14142</v>
      </c>
      <c r="G6236">
        <v>2</v>
      </c>
      <c r="H6236" t="s">
        <v>995</v>
      </c>
      <c r="I6236" t="s">
        <v>69</v>
      </c>
      <c r="J6236" t="s">
        <v>996</v>
      </c>
      <c r="K6236" t="s">
        <v>228</v>
      </c>
      <c r="L6236" t="s">
        <v>14143</v>
      </c>
      <c r="M6236" s="3" t="str">
        <f>HYPERLINK("..\..\Imagery\ScannedPhotos\1993\CG93-722.1E.jpg")</f>
        <v>..\..\Imagery\ScannedPhotos\1993\CG93-722.1E.jpg</v>
      </c>
      <c r="N6236" t="s">
        <v>1808</v>
      </c>
    </row>
    <row r="6237" spans="1:14" x14ac:dyDescent="0.25">
      <c r="A6237" t="s">
        <v>14144</v>
      </c>
      <c r="B6237">
        <v>575548</v>
      </c>
      <c r="C6237">
        <v>5759518</v>
      </c>
      <c r="D6237">
        <v>21</v>
      </c>
      <c r="E6237" t="s">
        <v>15</v>
      </c>
      <c r="F6237" t="s">
        <v>14145</v>
      </c>
      <c r="G6237">
        <v>3</v>
      </c>
      <c r="H6237" t="s">
        <v>995</v>
      </c>
      <c r="I6237" t="s">
        <v>217</v>
      </c>
      <c r="J6237" t="s">
        <v>996</v>
      </c>
      <c r="K6237" t="s">
        <v>535</v>
      </c>
      <c r="L6237" t="s">
        <v>14146</v>
      </c>
      <c r="M6237" s="3" t="str">
        <f>HYPERLINK("..\..\Imagery\ScannedPhotos\1993\CG93-737.1E.jpg")</f>
        <v>..\..\Imagery\ScannedPhotos\1993\CG93-737.1E.jpg</v>
      </c>
      <c r="N6237" t="s">
        <v>1808</v>
      </c>
    </row>
    <row r="6238" spans="1:14" x14ac:dyDescent="0.25">
      <c r="A6238" t="s">
        <v>14144</v>
      </c>
      <c r="B6238">
        <v>575548</v>
      </c>
      <c r="C6238">
        <v>5759518</v>
      </c>
      <c r="D6238">
        <v>21</v>
      </c>
      <c r="E6238" t="s">
        <v>15</v>
      </c>
      <c r="F6238" t="s">
        <v>14147</v>
      </c>
      <c r="G6238">
        <v>3</v>
      </c>
      <c r="H6238" t="s">
        <v>995</v>
      </c>
      <c r="I6238" t="s">
        <v>195</v>
      </c>
      <c r="J6238" t="s">
        <v>996</v>
      </c>
      <c r="K6238" t="s">
        <v>109</v>
      </c>
      <c r="L6238" t="s">
        <v>14148</v>
      </c>
      <c r="M6238" s="3" t="str">
        <f>HYPERLINK("..\..\Imagery\ScannedPhotos\1993\CG93-737.2E.jpg")</f>
        <v>..\..\Imagery\ScannedPhotos\1993\CG93-737.2E.jpg</v>
      </c>
      <c r="N6238" t="s">
        <v>1808</v>
      </c>
    </row>
    <row r="6239" spans="1:14" x14ac:dyDescent="0.25">
      <c r="A6239" t="s">
        <v>14144</v>
      </c>
      <c r="B6239">
        <v>575548</v>
      </c>
      <c r="C6239">
        <v>5759518</v>
      </c>
      <c r="D6239">
        <v>21</v>
      </c>
      <c r="E6239" t="s">
        <v>15</v>
      </c>
      <c r="F6239" t="s">
        <v>14149</v>
      </c>
      <c r="G6239">
        <v>3</v>
      </c>
      <c r="H6239" t="s">
        <v>995</v>
      </c>
      <c r="I6239" t="s">
        <v>25</v>
      </c>
      <c r="J6239" t="s">
        <v>996</v>
      </c>
      <c r="K6239" t="s">
        <v>535</v>
      </c>
      <c r="L6239" t="s">
        <v>14150</v>
      </c>
      <c r="M6239" s="3" t="str">
        <f>HYPERLINK("..\..\Imagery\ScannedPhotos\1993\CG93-737.3E.jpg")</f>
        <v>..\..\Imagery\ScannedPhotos\1993\CG93-737.3E.jpg</v>
      </c>
      <c r="N6239" t="s">
        <v>1808</v>
      </c>
    </row>
    <row r="6240" spans="1:14" x14ac:dyDescent="0.25">
      <c r="A6240" t="s">
        <v>14151</v>
      </c>
      <c r="B6240">
        <v>578692</v>
      </c>
      <c r="C6240">
        <v>5758198</v>
      </c>
      <c r="D6240">
        <v>21</v>
      </c>
      <c r="E6240" t="s">
        <v>15</v>
      </c>
      <c r="F6240" t="s">
        <v>14152</v>
      </c>
      <c r="G6240">
        <v>1</v>
      </c>
      <c r="H6240" t="s">
        <v>995</v>
      </c>
      <c r="I6240" t="s">
        <v>119</v>
      </c>
      <c r="J6240" t="s">
        <v>996</v>
      </c>
      <c r="K6240" t="s">
        <v>20</v>
      </c>
      <c r="L6240" t="s">
        <v>14153</v>
      </c>
      <c r="M6240" s="3" t="str">
        <f>HYPERLINK("..\..\Imagery\ScannedPhotos\1993\CG93-770E.jpg")</f>
        <v>..\..\Imagery\ScannedPhotos\1993\CG93-770E.jpg</v>
      </c>
      <c r="N6240" t="s">
        <v>1808</v>
      </c>
    </row>
    <row r="6241" spans="1:14" x14ac:dyDescent="0.25">
      <c r="A6241" t="s">
        <v>14154</v>
      </c>
      <c r="B6241">
        <v>551790</v>
      </c>
      <c r="C6241">
        <v>5736457</v>
      </c>
      <c r="D6241">
        <v>21</v>
      </c>
      <c r="E6241" t="s">
        <v>15</v>
      </c>
      <c r="F6241" t="s">
        <v>14155</v>
      </c>
      <c r="G6241">
        <v>1</v>
      </c>
      <c r="H6241" t="s">
        <v>1737</v>
      </c>
      <c r="I6241" t="s">
        <v>129</v>
      </c>
      <c r="J6241" t="s">
        <v>1738</v>
      </c>
      <c r="K6241" t="s">
        <v>20</v>
      </c>
      <c r="L6241" t="s">
        <v>1090</v>
      </c>
      <c r="M6241" s="3" t="str">
        <f>HYPERLINK("..\..\Imagery\ScannedPhotos\1993\DL93-088E.jpg")</f>
        <v>..\..\Imagery\ScannedPhotos\1993\DL93-088E.jpg</v>
      </c>
      <c r="N6241" t="s">
        <v>1808</v>
      </c>
    </row>
    <row r="6242" spans="1:14" x14ac:dyDescent="0.25">
      <c r="A6242" t="s">
        <v>14156</v>
      </c>
      <c r="B6242">
        <v>551015</v>
      </c>
      <c r="C6242">
        <v>5742589</v>
      </c>
      <c r="D6242">
        <v>21</v>
      </c>
      <c r="E6242" t="s">
        <v>15</v>
      </c>
      <c r="F6242" t="s">
        <v>14157</v>
      </c>
      <c r="G6242">
        <v>1</v>
      </c>
      <c r="H6242" t="s">
        <v>4315</v>
      </c>
      <c r="I6242" t="s">
        <v>209</v>
      </c>
      <c r="J6242" t="s">
        <v>996</v>
      </c>
      <c r="K6242" t="s">
        <v>228</v>
      </c>
      <c r="L6242" t="s">
        <v>14158</v>
      </c>
      <c r="M6242" s="3" t="str">
        <f>HYPERLINK("..\..\Imagery\ScannedPhotos\1993\DL93-316E.jpg")</f>
        <v>..\..\Imagery\ScannedPhotos\1993\DL93-316E.jpg</v>
      </c>
      <c r="N6242" t="s">
        <v>1808</v>
      </c>
    </row>
    <row r="6243" spans="1:14" x14ac:dyDescent="0.25">
      <c r="A6243" t="s">
        <v>14159</v>
      </c>
      <c r="B6243">
        <v>496887</v>
      </c>
      <c r="C6243">
        <v>5698522</v>
      </c>
      <c r="D6243">
        <v>21</v>
      </c>
      <c r="E6243" t="s">
        <v>15</v>
      </c>
      <c r="F6243" t="s">
        <v>14160</v>
      </c>
      <c r="G6243">
        <v>1</v>
      </c>
      <c r="H6243" t="s">
        <v>1076</v>
      </c>
      <c r="I6243" t="s">
        <v>30</v>
      </c>
      <c r="J6243" t="s">
        <v>570</v>
      </c>
      <c r="K6243" t="s">
        <v>935</v>
      </c>
      <c r="L6243" t="s">
        <v>14161</v>
      </c>
      <c r="M6243" s="3" t="str">
        <f>HYPERLINK("..\..\Imagery\ScannedPhotos\1993\GK93-003E.jpg")</f>
        <v>..\..\Imagery\ScannedPhotos\1993\GK93-003E.jpg</v>
      </c>
      <c r="N6243" t="s">
        <v>1808</v>
      </c>
    </row>
    <row r="6244" spans="1:14" x14ac:dyDescent="0.25">
      <c r="A6244" t="s">
        <v>11431</v>
      </c>
      <c r="B6244">
        <v>539536</v>
      </c>
      <c r="C6244">
        <v>5730926</v>
      </c>
      <c r="D6244">
        <v>21</v>
      </c>
      <c r="E6244" t="s">
        <v>15</v>
      </c>
      <c r="F6244" t="s">
        <v>14162</v>
      </c>
      <c r="G6244">
        <v>14</v>
      </c>
      <c r="H6244" t="s">
        <v>885</v>
      </c>
      <c r="I6244" t="s">
        <v>18</v>
      </c>
      <c r="J6244" t="s">
        <v>886</v>
      </c>
      <c r="K6244" t="s">
        <v>228</v>
      </c>
      <c r="L6244" t="s">
        <v>14163</v>
      </c>
      <c r="M6244" s="3" t="str">
        <f>HYPERLINK("..\..\Imagery\ScannedPhotos\1993\VN93-033.4E.jpg")</f>
        <v>..\..\Imagery\ScannedPhotos\1993\VN93-033.4E.jpg</v>
      </c>
      <c r="N6244" t="s">
        <v>1808</v>
      </c>
    </row>
    <row r="6245" spans="1:14" x14ac:dyDescent="0.25">
      <c r="A6245" t="s">
        <v>11431</v>
      </c>
      <c r="B6245">
        <v>539536</v>
      </c>
      <c r="C6245">
        <v>5730926</v>
      </c>
      <c r="D6245">
        <v>21</v>
      </c>
      <c r="E6245" t="s">
        <v>15</v>
      </c>
      <c r="F6245" t="s">
        <v>14164</v>
      </c>
      <c r="G6245">
        <v>14</v>
      </c>
      <c r="H6245" t="s">
        <v>1513</v>
      </c>
      <c r="I6245" t="s">
        <v>418</v>
      </c>
      <c r="J6245" t="s">
        <v>1514</v>
      </c>
      <c r="K6245" t="s">
        <v>228</v>
      </c>
      <c r="L6245" t="s">
        <v>14165</v>
      </c>
      <c r="M6245" s="3" t="str">
        <f>HYPERLINK("..\..\Imagery\ScannedPhotos\1993\VN93-033.5E.jpg")</f>
        <v>..\..\Imagery\ScannedPhotos\1993\VN93-033.5E.jpg</v>
      </c>
      <c r="N6245" t="s">
        <v>1808</v>
      </c>
    </row>
    <row r="6246" spans="1:14" x14ac:dyDescent="0.25">
      <c r="A6246" t="s">
        <v>11431</v>
      </c>
      <c r="B6246">
        <v>539536</v>
      </c>
      <c r="C6246">
        <v>5730926</v>
      </c>
      <c r="D6246">
        <v>21</v>
      </c>
      <c r="E6246" t="s">
        <v>15</v>
      </c>
      <c r="F6246" t="s">
        <v>14166</v>
      </c>
      <c r="G6246">
        <v>14</v>
      </c>
      <c r="H6246" t="s">
        <v>1513</v>
      </c>
      <c r="I6246" t="s">
        <v>304</v>
      </c>
      <c r="J6246" t="s">
        <v>1514</v>
      </c>
      <c r="K6246" t="s">
        <v>228</v>
      </c>
      <c r="L6246" t="s">
        <v>14167</v>
      </c>
      <c r="M6246" s="3" t="str">
        <f>HYPERLINK("..\..\Imagery\ScannedPhotos\1993\VN93-033.6E.jpg")</f>
        <v>..\..\Imagery\ScannedPhotos\1993\VN93-033.6E.jpg</v>
      </c>
      <c r="N6246" t="s">
        <v>1808</v>
      </c>
    </row>
    <row r="6247" spans="1:14" x14ac:dyDescent="0.25">
      <c r="A6247" t="s">
        <v>11431</v>
      </c>
      <c r="B6247">
        <v>539536</v>
      </c>
      <c r="C6247">
        <v>5730926</v>
      </c>
      <c r="D6247">
        <v>21</v>
      </c>
      <c r="E6247" t="s">
        <v>15</v>
      </c>
      <c r="F6247" t="s">
        <v>14168</v>
      </c>
      <c r="G6247">
        <v>14</v>
      </c>
      <c r="H6247" t="s">
        <v>1732</v>
      </c>
      <c r="I6247" t="s">
        <v>122</v>
      </c>
      <c r="J6247" t="s">
        <v>1733</v>
      </c>
      <c r="K6247" t="s">
        <v>228</v>
      </c>
      <c r="L6247" t="s">
        <v>14169</v>
      </c>
      <c r="M6247" s="3" t="str">
        <f>HYPERLINK("..\..\Imagery\ScannedPhotos\1993\VN93-033.10E.jpg")</f>
        <v>..\..\Imagery\ScannedPhotos\1993\VN93-033.10E.jpg</v>
      </c>
      <c r="N6247" t="s">
        <v>1808</v>
      </c>
    </row>
    <row r="6248" spans="1:14" x14ac:dyDescent="0.25">
      <c r="A6248" t="s">
        <v>11431</v>
      </c>
      <c r="B6248">
        <v>539536</v>
      </c>
      <c r="C6248">
        <v>5730926</v>
      </c>
      <c r="D6248">
        <v>21</v>
      </c>
      <c r="E6248" t="s">
        <v>15</v>
      </c>
      <c r="F6248" t="s">
        <v>14170</v>
      </c>
      <c r="G6248">
        <v>14</v>
      </c>
      <c r="H6248" t="s">
        <v>4315</v>
      </c>
      <c r="I6248" t="s">
        <v>41</v>
      </c>
      <c r="J6248" t="s">
        <v>996</v>
      </c>
      <c r="K6248" t="s">
        <v>228</v>
      </c>
      <c r="L6248" t="s">
        <v>14171</v>
      </c>
      <c r="M6248" s="3" t="str">
        <f>HYPERLINK("..\..\Imagery\ScannedPhotos\1993\VN93-033.11E.jpg")</f>
        <v>..\..\Imagery\ScannedPhotos\1993\VN93-033.11E.jpg</v>
      </c>
      <c r="N6248" t="s">
        <v>1808</v>
      </c>
    </row>
    <row r="6249" spans="1:14" x14ac:dyDescent="0.25">
      <c r="A6249" t="s">
        <v>11431</v>
      </c>
      <c r="B6249">
        <v>539536</v>
      </c>
      <c r="C6249">
        <v>5730926</v>
      </c>
      <c r="D6249">
        <v>21</v>
      </c>
      <c r="E6249" t="s">
        <v>15</v>
      </c>
      <c r="F6249" t="s">
        <v>14172</v>
      </c>
      <c r="G6249">
        <v>14</v>
      </c>
      <c r="H6249" t="s">
        <v>4315</v>
      </c>
      <c r="I6249" t="s">
        <v>85</v>
      </c>
      <c r="J6249" t="s">
        <v>996</v>
      </c>
      <c r="K6249" t="s">
        <v>228</v>
      </c>
      <c r="L6249" t="s">
        <v>14173</v>
      </c>
      <c r="M6249" s="3" t="str">
        <f>HYPERLINK("..\..\Imagery\ScannedPhotos\1993\VN93-033.12E.jpg")</f>
        <v>..\..\Imagery\ScannedPhotos\1993\VN93-033.12E.jpg</v>
      </c>
      <c r="N6249" t="s">
        <v>1808</v>
      </c>
    </row>
    <row r="6250" spans="1:14" x14ac:dyDescent="0.25">
      <c r="A6250" t="s">
        <v>11431</v>
      </c>
      <c r="B6250">
        <v>539536</v>
      </c>
      <c r="C6250">
        <v>5730926</v>
      </c>
      <c r="D6250">
        <v>21</v>
      </c>
      <c r="E6250" t="s">
        <v>15</v>
      </c>
      <c r="F6250" t="s">
        <v>14174</v>
      </c>
      <c r="G6250">
        <v>14</v>
      </c>
      <c r="H6250" t="s">
        <v>4315</v>
      </c>
      <c r="I6250" t="s">
        <v>375</v>
      </c>
      <c r="J6250" t="s">
        <v>996</v>
      </c>
      <c r="K6250" t="s">
        <v>228</v>
      </c>
      <c r="L6250" t="s">
        <v>14175</v>
      </c>
      <c r="M6250" s="3" t="str">
        <f>HYPERLINK("..\..\Imagery\ScannedPhotos\1993\VN93-033.13E.jpg")</f>
        <v>..\..\Imagery\ScannedPhotos\1993\VN93-033.13E.jpg</v>
      </c>
      <c r="N6250" t="s">
        <v>1808</v>
      </c>
    </row>
    <row r="6251" spans="1:14" x14ac:dyDescent="0.25">
      <c r="A6251" t="s">
        <v>11431</v>
      </c>
      <c r="B6251">
        <v>539536</v>
      </c>
      <c r="C6251">
        <v>5730926</v>
      </c>
      <c r="D6251">
        <v>21</v>
      </c>
      <c r="E6251" t="s">
        <v>15</v>
      </c>
      <c r="F6251" t="s">
        <v>14176</v>
      </c>
      <c r="G6251">
        <v>14</v>
      </c>
      <c r="H6251" t="s">
        <v>4315</v>
      </c>
      <c r="I6251" t="s">
        <v>94</v>
      </c>
      <c r="J6251" t="s">
        <v>996</v>
      </c>
      <c r="K6251" t="s">
        <v>228</v>
      </c>
      <c r="L6251" t="s">
        <v>14177</v>
      </c>
      <c r="M6251" s="3" t="str">
        <f>HYPERLINK("..\..\Imagery\ScannedPhotos\1993\VN93-033.14E.jpg")</f>
        <v>..\..\Imagery\ScannedPhotos\1993\VN93-033.14E.jpg</v>
      </c>
      <c r="N6251" t="s">
        <v>1808</v>
      </c>
    </row>
    <row r="6252" spans="1:14" x14ac:dyDescent="0.25">
      <c r="A6252" t="s">
        <v>14178</v>
      </c>
      <c r="B6252">
        <v>536397</v>
      </c>
      <c r="C6252">
        <v>5727620</v>
      </c>
      <c r="D6252">
        <v>21</v>
      </c>
      <c r="E6252" t="s">
        <v>15</v>
      </c>
      <c r="F6252" t="s">
        <v>14179</v>
      </c>
      <c r="G6252">
        <v>1</v>
      </c>
      <c r="H6252" t="s">
        <v>2418</v>
      </c>
      <c r="I6252" t="s">
        <v>137</v>
      </c>
      <c r="J6252" t="s">
        <v>570</v>
      </c>
      <c r="K6252" t="s">
        <v>20</v>
      </c>
      <c r="L6252" t="s">
        <v>14180</v>
      </c>
      <c r="M6252" s="3" t="str">
        <f>HYPERLINK("..\..\Imagery\ScannedPhotos\1993\VN93-098E.jpg")</f>
        <v>..\..\Imagery\ScannedPhotos\1993\VN93-098E.jpg</v>
      </c>
      <c r="N6252" t="s">
        <v>1808</v>
      </c>
    </row>
    <row r="6253" spans="1:14" x14ac:dyDescent="0.25">
      <c r="A6253" t="s">
        <v>7826</v>
      </c>
      <c r="B6253">
        <v>555390</v>
      </c>
      <c r="C6253">
        <v>5739810</v>
      </c>
      <c r="D6253">
        <v>21</v>
      </c>
      <c r="E6253" t="s">
        <v>15</v>
      </c>
      <c r="F6253" t="s">
        <v>14181</v>
      </c>
      <c r="G6253">
        <v>2</v>
      </c>
      <c r="H6253" t="s">
        <v>6322</v>
      </c>
      <c r="I6253" t="s">
        <v>85</v>
      </c>
      <c r="J6253" t="s">
        <v>996</v>
      </c>
      <c r="K6253" t="s">
        <v>20</v>
      </c>
      <c r="L6253" t="s">
        <v>14182</v>
      </c>
      <c r="M6253" s="3" t="str">
        <f>HYPERLINK("..\..\Imagery\ScannedPhotos\1993\VN93-342.2E.jpg")</f>
        <v>..\..\Imagery\ScannedPhotos\1993\VN93-342.2E.jpg</v>
      </c>
      <c r="N6253" t="s">
        <v>1808</v>
      </c>
    </row>
    <row r="6254" spans="1:14" x14ac:dyDescent="0.25">
      <c r="A6254" t="s">
        <v>14183</v>
      </c>
      <c r="B6254">
        <v>574914</v>
      </c>
      <c r="C6254">
        <v>5756012</v>
      </c>
      <c r="D6254">
        <v>21</v>
      </c>
      <c r="E6254" t="s">
        <v>15</v>
      </c>
      <c r="F6254" t="s">
        <v>14184</v>
      </c>
      <c r="G6254">
        <v>1</v>
      </c>
      <c r="H6254" t="s">
        <v>984</v>
      </c>
      <c r="I6254" t="s">
        <v>386</v>
      </c>
      <c r="J6254" t="s">
        <v>985</v>
      </c>
      <c r="K6254" t="s">
        <v>20</v>
      </c>
      <c r="L6254" t="s">
        <v>14185</v>
      </c>
      <c r="M6254" s="3" t="str">
        <f>HYPERLINK("..\..\Imagery\ScannedPhotos\1993\VN93-659E.jpg")</f>
        <v>..\..\Imagery\ScannedPhotos\1993\VN93-659E.jpg</v>
      </c>
      <c r="N6254" t="s">
        <v>1808</v>
      </c>
    </row>
    <row r="6255" spans="1:14" x14ac:dyDescent="0.25">
      <c r="A6255" t="s">
        <v>3134</v>
      </c>
      <c r="B6255">
        <v>481685</v>
      </c>
      <c r="C6255">
        <v>5920666</v>
      </c>
      <c r="D6255">
        <v>21</v>
      </c>
      <c r="E6255" t="s">
        <v>15</v>
      </c>
      <c r="F6255" t="s">
        <v>14186</v>
      </c>
      <c r="G6255">
        <v>16</v>
      </c>
      <c r="H6255" t="s">
        <v>1409</v>
      </c>
      <c r="I6255" t="s">
        <v>209</v>
      </c>
      <c r="J6255" t="s">
        <v>1410</v>
      </c>
      <c r="K6255" t="s">
        <v>535</v>
      </c>
      <c r="L6255" t="s">
        <v>14187</v>
      </c>
      <c r="M6255" s="3" t="str">
        <f>HYPERLINK("..\..\Imagery\ScannedPhotos\2004\CG04-286.1E.jpg")</f>
        <v>..\..\Imagery\ScannedPhotos\2004\CG04-286.1E.jpg</v>
      </c>
      <c r="N6255" t="s">
        <v>1808</v>
      </c>
    </row>
    <row r="6256" spans="1:14" x14ac:dyDescent="0.25">
      <c r="A6256" t="s">
        <v>3134</v>
      </c>
      <c r="B6256">
        <v>481685</v>
      </c>
      <c r="C6256">
        <v>5920666</v>
      </c>
      <c r="D6256">
        <v>21</v>
      </c>
      <c r="E6256" t="s">
        <v>15</v>
      </c>
      <c r="F6256" t="s">
        <v>14188</v>
      </c>
      <c r="G6256">
        <v>16</v>
      </c>
      <c r="H6256" t="s">
        <v>1409</v>
      </c>
      <c r="I6256" t="s">
        <v>386</v>
      </c>
      <c r="J6256" t="s">
        <v>1410</v>
      </c>
      <c r="K6256" t="s">
        <v>535</v>
      </c>
      <c r="L6256" t="s">
        <v>14187</v>
      </c>
      <c r="M6256" s="3" t="str">
        <f>HYPERLINK("..\..\Imagery\ScannedPhotos\2004\CG04-286.2E.jpg")</f>
        <v>..\..\Imagery\ScannedPhotos\2004\CG04-286.2E.jpg</v>
      </c>
      <c r="N6256" t="s">
        <v>1808</v>
      </c>
    </row>
    <row r="6257" spans="1:14" x14ac:dyDescent="0.25">
      <c r="A6257" t="s">
        <v>3134</v>
      </c>
      <c r="B6257">
        <v>481685</v>
      </c>
      <c r="C6257">
        <v>5920666</v>
      </c>
      <c r="D6257">
        <v>21</v>
      </c>
      <c r="E6257" t="s">
        <v>15</v>
      </c>
      <c r="F6257" t="s">
        <v>14189</v>
      </c>
      <c r="G6257">
        <v>16</v>
      </c>
      <c r="H6257" t="s">
        <v>1409</v>
      </c>
      <c r="I6257" t="s">
        <v>217</v>
      </c>
      <c r="J6257" t="s">
        <v>1410</v>
      </c>
      <c r="K6257" t="s">
        <v>535</v>
      </c>
      <c r="L6257" t="s">
        <v>14190</v>
      </c>
      <c r="M6257" s="3" t="str">
        <f>HYPERLINK("..\..\Imagery\ScannedPhotos\2004\CG04-286.3E.jpg")</f>
        <v>..\..\Imagery\ScannedPhotos\2004\CG04-286.3E.jpg</v>
      </c>
      <c r="N6257" t="s">
        <v>1808</v>
      </c>
    </row>
    <row r="6258" spans="1:14" x14ac:dyDescent="0.25">
      <c r="A6258" t="s">
        <v>3134</v>
      </c>
      <c r="B6258">
        <v>481685</v>
      </c>
      <c r="C6258">
        <v>5920666</v>
      </c>
      <c r="D6258">
        <v>21</v>
      </c>
      <c r="E6258" t="s">
        <v>15</v>
      </c>
      <c r="F6258" t="s">
        <v>14191</v>
      </c>
      <c r="G6258">
        <v>16</v>
      </c>
      <c r="H6258" t="s">
        <v>1409</v>
      </c>
      <c r="I6258" t="s">
        <v>214</v>
      </c>
      <c r="J6258" t="s">
        <v>1410</v>
      </c>
      <c r="K6258" t="s">
        <v>535</v>
      </c>
      <c r="L6258" t="s">
        <v>14192</v>
      </c>
      <c r="M6258" s="3" t="str">
        <f>HYPERLINK("..\..\Imagery\ScannedPhotos\2004\CG04-286.4E.jpg")</f>
        <v>..\..\Imagery\ScannedPhotos\2004\CG04-286.4E.jpg</v>
      </c>
      <c r="N6258" t="s">
        <v>1808</v>
      </c>
    </row>
    <row r="6259" spans="1:14" x14ac:dyDescent="0.25">
      <c r="A6259" t="s">
        <v>3134</v>
      </c>
      <c r="B6259">
        <v>481685</v>
      </c>
      <c r="C6259">
        <v>5920666</v>
      </c>
      <c r="D6259">
        <v>21</v>
      </c>
      <c r="E6259" t="s">
        <v>15</v>
      </c>
      <c r="F6259" t="s">
        <v>14193</v>
      </c>
      <c r="G6259">
        <v>16</v>
      </c>
      <c r="H6259" t="s">
        <v>60</v>
      </c>
      <c r="I6259" t="s">
        <v>41</v>
      </c>
      <c r="J6259" t="s">
        <v>61</v>
      </c>
      <c r="K6259" t="s">
        <v>228</v>
      </c>
      <c r="L6259" t="s">
        <v>14194</v>
      </c>
      <c r="M6259" s="3" t="str">
        <f>HYPERLINK("..\..\Imagery\ScannedPhotos\2004\CG04-286.7E.jpg")</f>
        <v>..\..\Imagery\ScannedPhotos\2004\CG04-286.7E.jpg</v>
      </c>
      <c r="N6259" t="s">
        <v>1808</v>
      </c>
    </row>
    <row r="6260" spans="1:14" x14ac:dyDescent="0.25">
      <c r="A6260" t="s">
        <v>3134</v>
      </c>
      <c r="B6260">
        <v>481685</v>
      </c>
      <c r="C6260">
        <v>5920666</v>
      </c>
      <c r="D6260">
        <v>21</v>
      </c>
      <c r="E6260" t="s">
        <v>15</v>
      </c>
      <c r="F6260" t="s">
        <v>14195</v>
      </c>
      <c r="G6260">
        <v>16</v>
      </c>
      <c r="H6260" t="s">
        <v>2895</v>
      </c>
      <c r="I6260" t="s">
        <v>25</v>
      </c>
      <c r="J6260" t="s">
        <v>2896</v>
      </c>
      <c r="K6260" t="s">
        <v>228</v>
      </c>
      <c r="L6260" t="s">
        <v>14196</v>
      </c>
      <c r="M6260" s="3" t="str">
        <f>HYPERLINK("..\..\Imagery\ScannedPhotos\2004\CG04-286.12E.jpg")</f>
        <v>..\..\Imagery\ScannedPhotos\2004\CG04-286.12E.jpg</v>
      </c>
      <c r="N6260" t="s">
        <v>1808</v>
      </c>
    </row>
    <row r="6261" spans="1:14" x14ac:dyDescent="0.25">
      <c r="A6261" t="s">
        <v>515</v>
      </c>
      <c r="B6261">
        <v>444343</v>
      </c>
      <c r="C6261">
        <v>5875585</v>
      </c>
      <c r="D6261">
        <v>21</v>
      </c>
      <c r="E6261" t="s">
        <v>15</v>
      </c>
      <c r="F6261" t="s">
        <v>14197</v>
      </c>
      <c r="G6261">
        <v>2</v>
      </c>
      <c r="K6261" t="s">
        <v>56</v>
      </c>
      <c r="L6261" t="s">
        <v>462</v>
      </c>
      <c r="M6261" s="3" t="str">
        <f>HYPERLINK("..\..\Imagery\ScannedPhotos\2007\CG07-031.2cropped.jpg")</f>
        <v>..\..\Imagery\ScannedPhotos\2007\CG07-031.2cropped.jpg</v>
      </c>
      <c r="N6261" t="s">
        <v>4297</v>
      </c>
    </row>
    <row r="6262" spans="1:14" x14ac:dyDescent="0.25">
      <c r="A6262" t="s">
        <v>6975</v>
      </c>
      <c r="B6262">
        <v>359019</v>
      </c>
      <c r="C6262">
        <v>5897682</v>
      </c>
      <c r="D6262">
        <v>21</v>
      </c>
      <c r="E6262" t="s">
        <v>15</v>
      </c>
      <c r="F6262" t="s">
        <v>14198</v>
      </c>
      <c r="G6262">
        <v>3</v>
      </c>
      <c r="K6262" t="s">
        <v>20</v>
      </c>
      <c r="L6262" t="s">
        <v>6977</v>
      </c>
      <c r="M6262" s="3" t="str">
        <f>HYPERLINK("..\..\Imagery\ScannedPhotos\2007\CG07-104.2cropped.jpg")</f>
        <v>..\..\Imagery\ScannedPhotos\2007\CG07-104.2cropped.jpg</v>
      </c>
      <c r="N6262" t="s">
        <v>4297</v>
      </c>
    </row>
    <row r="6263" spans="1:14" x14ac:dyDescent="0.25">
      <c r="A6263" t="s">
        <v>5627</v>
      </c>
      <c r="B6263">
        <v>592217</v>
      </c>
      <c r="C6263">
        <v>5790299</v>
      </c>
      <c r="D6263">
        <v>21</v>
      </c>
      <c r="E6263" t="s">
        <v>15</v>
      </c>
      <c r="F6263" t="s">
        <v>14199</v>
      </c>
      <c r="G6263">
        <v>2</v>
      </c>
      <c r="K6263" t="s">
        <v>56</v>
      </c>
      <c r="L6263" t="s">
        <v>5629</v>
      </c>
      <c r="M6263" s="3" t="str">
        <f>HYPERLINK("..\..\Imagery\ScannedPhotos\2007\CG07-140.1cropped.jpg")</f>
        <v>..\..\Imagery\ScannedPhotos\2007\CG07-140.1cropped.jpg</v>
      </c>
      <c r="N6263" t="s">
        <v>4297</v>
      </c>
    </row>
    <row r="6264" spans="1:14" x14ac:dyDescent="0.25">
      <c r="A6264" t="s">
        <v>11732</v>
      </c>
      <c r="B6264">
        <v>596544</v>
      </c>
      <c r="C6264">
        <v>5792056</v>
      </c>
      <c r="D6264">
        <v>21</v>
      </c>
      <c r="E6264" t="s">
        <v>15</v>
      </c>
      <c r="F6264" t="s">
        <v>14200</v>
      </c>
      <c r="G6264">
        <v>3</v>
      </c>
      <c r="K6264" t="s">
        <v>20</v>
      </c>
      <c r="L6264" t="s">
        <v>14201</v>
      </c>
      <c r="M6264" s="3" t="str">
        <f>HYPERLINK("..\..\Imagery\ScannedPhotos\2007\CG07-159.2cropped.jpg")</f>
        <v>..\..\Imagery\ScannedPhotos\2007\CG07-159.2cropped.jpg</v>
      </c>
      <c r="N6264" t="s">
        <v>4297</v>
      </c>
    </row>
    <row r="6265" spans="1:14" x14ac:dyDescent="0.25">
      <c r="A6265" t="s">
        <v>3506</v>
      </c>
      <c r="B6265">
        <v>596318</v>
      </c>
      <c r="C6265">
        <v>5792715</v>
      </c>
      <c r="D6265">
        <v>21</v>
      </c>
      <c r="E6265" t="s">
        <v>15</v>
      </c>
      <c r="F6265" t="s">
        <v>14202</v>
      </c>
      <c r="G6265">
        <v>8</v>
      </c>
      <c r="K6265" t="s">
        <v>935</v>
      </c>
      <c r="L6265" t="s">
        <v>8056</v>
      </c>
      <c r="M6265" s="3" t="str">
        <f>HYPERLINK("..\..\Imagery\ScannedPhotos\2007\CG07-123.7cropped.jpg")</f>
        <v>..\..\Imagery\ScannedPhotos\2007\CG07-123.7cropped.jpg</v>
      </c>
      <c r="N6265" t="s">
        <v>4297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Photos_without_Names</vt:lpstr>
      <vt:lpstr>Photos_without_Names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Honarvar, Pauline</dc:creator>
  <cp:lastModifiedBy>Honarvar, Pauline</cp:lastModifiedBy>
  <dcterms:created xsi:type="dcterms:W3CDTF">2018-12-05T15:07:16Z</dcterms:created>
  <dcterms:modified xsi:type="dcterms:W3CDTF">2019-02-22T16:02:51Z</dcterms:modified>
</cp:coreProperties>
</file>